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codeName="ThisWorkbook" defaultThemeVersion="166925"/>
  <mc:AlternateContent xmlns:mc="http://schemas.openxmlformats.org/markup-compatibility/2006">
    <mc:Choice Requires="x15">
      <x15ac:absPath xmlns:x15ac="http://schemas.microsoft.com/office/spreadsheetml/2010/11/ac" url="https://crcsaafe.sharepoint.com/sites/Proposals/Shared Documents/General/01-Guidance Documents/01-Internal Guidance Documents/03- Stage Two App Process/"/>
    </mc:Choice>
  </mc:AlternateContent>
  <xr:revisionPtr revIDLastSave="0" documentId="8_{806C67C6-13F0-4E25-BCB8-EE21978C6F2A}" xr6:coauthVersionLast="47" xr6:coauthVersionMax="47" xr10:uidLastSave="{00000000-0000-0000-0000-000000000000}"/>
  <bookViews>
    <workbookView xWindow="-110" yWindow="-110" windowWidth="19420" windowHeight="11500" xr2:uid="{629E7328-C021-46D4-B225-819ABEAE298E}"/>
  </bookViews>
  <sheets>
    <sheet name="Instructions" sheetId="8" r:id="rId1"/>
    <sheet name="Budget Summary" sheetId="6" r:id="rId2"/>
    <sheet name="Cash Budget - Projects" sheetId="4" r:id="rId3"/>
    <sheet name="Cash Contributions" sheetId="7" r:id="rId4"/>
    <sheet name="In-Kind Contributions" sheetId="5" r:id="rId5"/>
    <sheet name="Temp" sheetId="10" state="hidden" r:id="rId6"/>
    <sheet name="Summary Tables" sheetId="9" state="hidden" r:id="rId7"/>
    <sheet name="Lists" sheetId="3" state="hidden" r:id="rId8"/>
  </sheets>
  <definedNames>
    <definedName name="Cash_contributions_change">'Cash Contributions'!$C$17</definedName>
    <definedName name="_xlnm.Print_Area" localSheetId="1">'Budget Summary'!$A$1:$I$34</definedName>
    <definedName name="Research_Category_Select">'Cash Budget - Projects'!$E1</definedName>
    <definedName name="Research_Type_Levels">INDEX(Staff_Levels[],,MATCH(Research_Category_Select,Staff_Levels_Headers,0))</definedName>
    <definedName name="Staff_Category_Select">'Cash Budget - Projects'!$E1</definedName>
    <definedName name="Staff_category_select_in_kind">'In-Kind Contributions'!#REF!</definedName>
    <definedName name="Staff_Levels_Headers">Staff_Levels[#Headers]</definedName>
    <definedName name="Staff_Type_Levels">INDEX(Staff_Levels[],,MATCH(Staff_Category_Select,Staff_Levels_Headers,0))</definedName>
    <definedName name="Staff_type_levels_in_kind">INDEX(Staff_Levels[],,MATCH(Staff_category_select_in_kind,Staff_Levels_Headers,0))</definedName>
    <definedName name="Total_Additional_Partner_Cash">'Cash Contributions'!$I$20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7" l="1"/>
  <c r="F46" i="7"/>
  <c r="E77" i="5"/>
  <c r="F77" i="5"/>
  <c r="O26" i="5" l="1"/>
  <c r="P26" i="5"/>
  <c r="I37" i="4"/>
  <c r="I38" i="4"/>
  <c r="O20" i="4"/>
  <c r="O19" i="4"/>
  <c r="O18" i="4"/>
  <c r="O17" i="4"/>
  <c r="O16" i="4"/>
  <c r="O15" i="4"/>
  <c r="M28" i="5"/>
  <c r="K28" i="5"/>
  <c r="I28" i="5"/>
  <c r="G28" i="5"/>
  <c r="E28" i="5"/>
  <c r="H65" i="5"/>
  <c r="G70" i="5" s="1"/>
  <c r="G20" i="6" s="1"/>
  <c r="G65" i="5"/>
  <c r="F70" i="5" s="1"/>
  <c r="F20" i="6" s="1"/>
  <c r="E65" i="5"/>
  <c r="D70" i="5" s="1"/>
  <c r="D20" i="6" s="1"/>
  <c r="F65" i="5"/>
  <c r="E70" i="5" s="1"/>
  <c r="E20" i="6" s="1"/>
  <c r="I45" i="5" l="1"/>
  <c r="I46" i="5"/>
  <c r="I47" i="5"/>
  <c r="I48" i="5"/>
  <c r="I49" i="5"/>
  <c r="I50" i="5"/>
  <c r="I51" i="5"/>
  <c r="I52" i="5"/>
  <c r="I53" i="5"/>
  <c r="I54" i="5"/>
  <c r="I55" i="5"/>
  <c r="I56" i="5"/>
  <c r="I57" i="5"/>
  <c r="I58" i="5"/>
  <c r="I59" i="5"/>
  <c r="I61" i="5"/>
  <c r="I62" i="5"/>
  <c r="I63" i="5"/>
  <c r="I64" i="5"/>
  <c r="R20" i="4"/>
  <c r="Q20" i="4"/>
  <c r="R19" i="4"/>
  <c r="Q19" i="4"/>
  <c r="R18" i="4"/>
  <c r="Q18" i="4"/>
  <c r="R17" i="4"/>
  <c r="Q17" i="4"/>
  <c r="R16" i="4"/>
  <c r="Q16" i="4"/>
  <c r="R15" i="4"/>
  <c r="Q15" i="4"/>
  <c r="R14" i="4"/>
  <c r="Q14" i="4"/>
  <c r="P20" i="4"/>
  <c r="P19" i="4"/>
  <c r="P18" i="4"/>
  <c r="P17" i="4"/>
  <c r="P16" i="4"/>
  <c r="P15" i="4"/>
  <c r="O14" i="4"/>
  <c r="P14" i="4"/>
  <c r="S20" i="4" l="1"/>
  <c r="S16" i="4"/>
  <c r="S17" i="4"/>
  <c r="S18" i="4"/>
  <c r="S19" i="4"/>
  <c r="S15" i="4"/>
  <c r="S14" i="4"/>
  <c r="E36" i="5" l="1"/>
  <c r="G36" i="5"/>
  <c r="E37" i="5"/>
  <c r="G37" i="5"/>
  <c r="E38" i="5"/>
  <c r="G38" i="5"/>
  <c r="E39" i="5"/>
  <c r="I39" i="5" s="1"/>
  <c r="G39" i="5"/>
  <c r="D40" i="5"/>
  <c r="F40" i="5"/>
  <c r="H40" i="5"/>
  <c r="C5" i="5"/>
  <c r="C6" i="5"/>
  <c r="O25" i="5"/>
  <c r="O24" i="5"/>
  <c r="O23" i="5"/>
  <c r="O22" i="5"/>
  <c r="O21" i="5"/>
  <c r="O20" i="5"/>
  <c r="O19" i="5"/>
  <c r="O18" i="5"/>
  <c r="I25" i="7"/>
  <c r="I24" i="7"/>
  <c r="I23" i="7"/>
  <c r="I22" i="7"/>
  <c r="I16" i="7"/>
  <c r="I15" i="7"/>
  <c r="I14" i="7"/>
  <c r="I13" i="7"/>
  <c r="I40" i="4"/>
  <c r="I39" i="4"/>
  <c r="I36" i="4"/>
  <c r="I35" i="4"/>
  <c r="I34" i="4"/>
  <c r="I33" i="4"/>
  <c r="I32" i="4"/>
  <c r="I31" i="4"/>
  <c r="I41" i="4"/>
  <c r="I30" i="4"/>
  <c r="I29" i="4"/>
  <c r="O27" i="5"/>
  <c r="O17" i="5"/>
  <c r="G7" i="9"/>
  <c r="F7" i="9"/>
  <c r="E7" i="9"/>
  <c r="D7" i="9"/>
  <c r="C7" i="9"/>
  <c r="B7" i="9"/>
  <c r="I28" i="4"/>
  <c r="I37" i="5" l="1"/>
  <c r="I36" i="5"/>
  <c r="I38" i="5"/>
  <c r="G40" i="5"/>
  <c r="E40" i="5"/>
  <c r="I40" i="5"/>
  <c r="P23" i="5"/>
  <c r="P20" i="5"/>
  <c r="P22" i="5"/>
  <c r="P25" i="5"/>
  <c r="P24" i="5"/>
  <c r="P21" i="5"/>
  <c r="P19" i="5"/>
  <c r="P18" i="5"/>
  <c r="P27" i="5"/>
  <c r="P17" i="5"/>
  <c r="O16" i="5"/>
  <c r="O15" i="5"/>
  <c r="F28" i="5" l="1"/>
  <c r="H28" i="5"/>
  <c r="J28" i="5"/>
  <c r="L28" i="5"/>
  <c r="N28" i="5"/>
  <c r="P16" i="5"/>
  <c r="P15" i="5"/>
  <c r="H21" i="4"/>
  <c r="D46" i="4" s="1"/>
  <c r="D8" i="6" s="1"/>
  <c r="E21" i="4"/>
  <c r="E26" i="7" l="1"/>
  <c r="F26" i="7"/>
  <c r="G26" i="7"/>
  <c r="H26" i="7"/>
  <c r="D26" i="7"/>
  <c r="G17" i="7"/>
  <c r="H17" i="7"/>
  <c r="G63" i="4" l="1"/>
  <c r="G41" i="7"/>
  <c r="F63" i="4"/>
  <c r="F41" i="7"/>
  <c r="I21" i="7"/>
  <c r="G21" i="4" l="1"/>
  <c r="F21" i="4"/>
  <c r="C46" i="4" s="1"/>
  <c r="C8" i="6" s="1"/>
  <c r="J21" i="4"/>
  <c r="E46" i="4" s="1"/>
  <c r="E8" i="6" s="1"/>
  <c r="I21" i="4"/>
  <c r="O21" i="4"/>
  <c r="L21" i="4"/>
  <c r="F46" i="4" s="1"/>
  <c r="F8" i="6" s="1"/>
  <c r="K21" i="4"/>
  <c r="N21" i="4"/>
  <c r="G46" i="4" s="1"/>
  <c r="G8" i="6" s="1"/>
  <c r="M21" i="4"/>
  <c r="I26" i="7"/>
  <c r="R21" i="4" l="1"/>
  <c r="Q21" i="4"/>
  <c r="P21" i="4"/>
  <c r="S21" i="4" l="1"/>
  <c r="H42" i="4"/>
  <c r="G42" i="4"/>
  <c r="F42" i="4"/>
  <c r="E42" i="4"/>
  <c r="D42" i="4"/>
  <c r="I27" i="4"/>
  <c r="H3" i="6"/>
  <c r="G3" i="6"/>
  <c r="E3" i="6"/>
  <c r="C4" i="7"/>
  <c r="C5" i="7"/>
  <c r="C6" i="7"/>
  <c r="F69" i="5" l="1"/>
  <c r="G69" i="5"/>
  <c r="E69" i="5"/>
  <c r="D69" i="5"/>
  <c r="D19" i="6" s="1"/>
  <c r="C69" i="5"/>
  <c r="C19" i="6" s="1"/>
  <c r="E71" i="5" l="1"/>
  <c r="E21" i="6" s="1"/>
  <c r="E19" i="6"/>
  <c r="G71" i="5"/>
  <c r="G21" i="6" s="1"/>
  <c r="G19" i="6"/>
  <c r="F71" i="5"/>
  <c r="F21" i="6" s="1"/>
  <c r="F19" i="6"/>
  <c r="H69" i="5"/>
  <c r="R34" i="3"/>
  <c r="S34" i="3" s="1"/>
  <c r="P34" i="3"/>
  <c r="Q34" i="3" s="1"/>
  <c r="R33" i="3"/>
  <c r="T33" i="3" s="1"/>
  <c r="Y33" i="3" s="1"/>
  <c r="P33" i="3"/>
  <c r="Q33" i="3" s="1"/>
  <c r="R32" i="3"/>
  <c r="T32" i="3" s="1"/>
  <c r="Y32" i="3" s="1"/>
  <c r="P32" i="3"/>
  <c r="Q32" i="3" s="1"/>
  <c r="R31" i="3"/>
  <c r="T31" i="3" s="1"/>
  <c r="Y31" i="3" s="1"/>
  <c r="P31" i="3"/>
  <c r="Q31" i="3" s="1"/>
  <c r="T30" i="3"/>
  <c r="Y30" i="3" s="1"/>
  <c r="S30" i="3"/>
  <c r="X30" i="3" s="1"/>
  <c r="R30" i="3"/>
  <c r="P30" i="3"/>
  <c r="Q30" i="3" s="1"/>
  <c r="R29" i="3"/>
  <c r="S29" i="3" s="1"/>
  <c r="P29" i="3"/>
  <c r="Q29" i="3" s="1"/>
  <c r="R28" i="3"/>
  <c r="T28" i="3" s="1"/>
  <c r="Y28" i="3" s="1"/>
  <c r="P28" i="3"/>
  <c r="R27" i="3"/>
  <c r="T27" i="3" s="1"/>
  <c r="Y27" i="3" s="1"/>
  <c r="P27" i="3"/>
  <c r="Q27" i="3" s="1"/>
  <c r="S26" i="3"/>
  <c r="V26" i="3" s="1"/>
  <c r="AA26" i="3" s="1"/>
  <c r="R26" i="3"/>
  <c r="T26" i="3" s="1"/>
  <c r="Y26" i="3" s="1"/>
  <c r="P26" i="3"/>
  <c r="Q26" i="3" s="1"/>
  <c r="R25" i="3"/>
  <c r="S25" i="3" s="1"/>
  <c r="P25" i="3"/>
  <c r="Q25" i="3" s="1"/>
  <c r="F51" i="7"/>
  <c r="F13" i="6" s="1"/>
  <c r="G51" i="7"/>
  <c r="G13" i="6" s="1"/>
  <c r="C52" i="7"/>
  <c r="C14" i="6" s="1"/>
  <c r="D52" i="7"/>
  <c r="D14" i="6" s="1"/>
  <c r="E52" i="7"/>
  <c r="E14" i="6" s="1"/>
  <c r="F52" i="7"/>
  <c r="F14" i="6" s="1"/>
  <c r="G52" i="7"/>
  <c r="G14" i="6" s="1"/>
  <c r="H19" i="6" l="1"/>
  <c r="P35" i="3"/>
  <c r="P36" i="3" s="1"/>
  <c r="P37" i="3" s="1"/>
  <c r="P38" i="3" s="1"/>
  <c r="P39" i="3" s="1"/>
  <c r="R35" i="3"/>
  <c r="R36" i="3" s="1"/>
  <c r="R37" i="3" s="1"/>
  <c r="R38" i="3" s="1"/>
  <c r="R39" i="3" s="1"/>
  <c r="Q28" i="3"/>
  <c r="T25" i="3"/>
  <c r="Y25" i="3" s="1"/>
  <c r="T36" i="3"/>
  <c r="Y36" i="3" s="1"/>
  <c r="S36" i="3"/>
  <c r="X36" i="3" s="1"/>
  <c r="T35" i="3"/>
  <c r="Y35" i="3" s="1"/>
  <c r="S35" i="3"/>
  <c r="X35" i="3" s="1"/>
  <c r="Q35" i="3"/>
  <c r="Q37" i="3"/>
  <c r="V35" i="3"/>
  <c r="AA35" i="3" s="1"/>
  <c r="Q36" i="3"/>
  <c r="W35" i="3"/>
  <c r="AB35" i="3" s="1"/>
  <c r="U35" i="3"/>
  <c r="Z35" i="3" s="1"/>
  <c r="X26" i="3"/>
  <c r="W26" i="3"/>
  <c r="AB26" i="3" s="1"/>
  <c r="V29" i="3"/>
  <c r="AA29" i="3" s="1"/>
  <c r="U29" i="3"/>
  <c r="Z29" i="3" s="1"/>
  <c r="X29" i="3"/>
  <c r="W29" i="3"/>
  <c r="AB29" i="3" s="1"/>
  <c r="V25" i="3"/>
  <c r="AA25" i="3" s="1"/>
  <c r="X25" i="3"/>
  <c r="W25" i="3"/>
  <c r="AB25" i="3" s="1"/>
  <c r="U25" i="3"/>
  <c r="Z25" i="3" s="1"/>
  <c r="X34" i="3"/>
  <c r="W34" i="3"/>
  <c r="AB34" i="3" s="1"/>
  <c r="V34" i="3"/>
  <c r="AA34" i="3" s="1"/>
  <c r="U34" i="3"/>
  <c r="Z34" i="3" s="1"/>
  <c r="V30" i="3"/>
  <c r="AA30" i="3" s="1"/>
  <c r="S28" i="3"/>
  <c r="S33" i="3"/>
  <c r="S32" i="3"/>
  <c r="S31" i="3"/>
  <c r="U26" i="3"/>
  <c r="Z26" i="3" s="1"/>
  <c r="U30" i="3"/>
  <c r="Z30" i="3" s="1"/>
  <c r="T34" i="3"/>
  <c r="Y34" i="3" s="1"/>
  <c r="T29" i="3"/>
  <c r="Y29" i="3" s="1"/>
  <c r="W30" i="3"/>
  <c r="AB30" i="3" s="1"/>
  <c r="S27" i="3"/>
  <c r="H52" i="7"/>
  <c r="H14" i="6" s="1"/>
  <c r="W36" i="3" l="1"/>
  <c r="AB36" i="3" s="1"/>
  <c r="V36" i="3"/>
  <c r="AA36" i="3" s="1"/>
  <c r="U36" i="3"/>
  <c r="Z36" i="3" s="1"/>
  <c r="T37" i="3"/>
  <c r="Y37" i="3" s="1"/>
  <c r="S37" i="3"/>
  <c r="X32" i="3"/>
  <c r="W32" i="3"/>
  <c r="AB32" i="3" s="1"/>
  <c r="V32" i="3"/>
  <c r="AA32" i="3" s="1"/>
  <c r="U32" i="3"/>
  <c r="Z32" i="3" s="1"/>
  <c r="W33" i="3"/>
  <c r="AB33" i="3" s="1"/>
  <c r="V33" i="3"/>
  <c r="AA33" i="3" s="1"/>
  <c r="U33" i="3"/>
  <c r="Z33" i="3" s="1"/>
  <c r="X33" i="3"/>
  <c r="X28" i="3"/>
  <c r="V28" i="3"/>
  <c r="AA28" i="3" s="1"/>
  <c r="U28" i="3"/>
  <c r="Z28" i="3" s="1"/>
  <c r="W28" i="3"/>
  <c r="AB28" i="3" s="1"/>
  <c r="U27" i="3"/>
  <c r="Z27" i="3" s="1"/>
  <c r="X27" i="3"/>
  <c r="W27" i="3"/>
  <c r="AB27" i="3" s="1"/>
  <c r="V27" i="3"/>
  <c r="AA27" i="3" s="1"/>
  <c r="V31" i="3"/>
  <c r="AA31" i="3" s="1"/>
  <c r="X31" i="3"/>
  <c r="U31" i="3"/>
  <c r="Z31" i="3" s="1"/>
  <c r="W31" i="3"/>
  <c r="AB31" i="3" s="1"/>
  <c r="B21" i="6"/>
  <c r="B20" i="6"/>
  <c r="B19" i="6"/>
  <c r="B18" i="6"/>
  <c r="B27" i="6"/>
  <c r="B28" i="6"/>
  <c r="B29" i="6"/>
  <c r="B26" i="6"/>
  <c r="B9" i="6"/>
  <c r="B10" i="6"/>
  <c r="B7" i="6"/>
  <c r="B16" i="6"/>
  <c r="B15" i="6"/>
  <c r="B14" i="6"/>
  <c r="B13" i="6"/>
  <c r="H5" i="6"/>
  <c r="B12" i="6"/>
  <c r="D65" i="5"/>
  <c r="O14" i="5"/>
  <c r="C47" i="4"/>
  <c r="C9" i="6" s="1"/>
  <c r="D47" i="4"/>
  <c r="E47" i="4"/>
  <c r="F47" i="4"/>
  <c r="G47" i="4"/>
  <c r="I42" i="4"/>
  <c r="D9" i="6" l="1"/>
  <c r="D10" i="6" s="1"/>
  <c r="F9" i="6"/>
  <c r="F10" i="6" s="1"/>
  <c r="E9" i="6"/>
  <c r="E10" i="6" s="1"/>
  <c r="G9" i="6"/>
  <c r="G10" i="6" s="1"/>
  <c r="H9" i="6"/>
  <c r="C70" i="5"/>
  <c r="C20" i="6" s="1"/>
  <c r="H20" i="6" s="1"/>
  <c r="I65" i="5"/>
  <c r="V37" i="3"/>
  <c r="AA37" i="3" s="1"/>
  <c r="X37" i="3"/>
  <c r="U37" i="3"/>
  <c r="Z37" i="3" s="1"/>
  <c r="W37" i="3"/>
  <c r="AB37" i="3" s="1"/>
  <c r="S38" i="3"/>
  <c r="Q38" i="3"/>
  <c r="T38" i="3"/>
  <c r="Y38" i="3" s="1"/>
  <c r="O28" i="5"/>
  <c r="H47" i="4"/>
  <c r="C10" i="6" l="1"/>
  <c r="H70" i="5"/>
  <c r="V38" i="3"/>
  <c r="AA38" i="3" s="1"/>
  <c r="U38" i="3"/>
  <c r="Z38" i="3" s="1"/>
  <c r="W38" i="3"/>
  <c r="AB38" i="3" s="1"/>
  <c r="X38" i="3"/>
  <c r="S39" i="3"/>
  <c r="T39" i="3"/>
  <c r="Y39" i="3" s="1"/>
  <c r="Q39" i="3"/>
  <c r="H71" i="5" l="1"/>
  <c r="X39" i="3"/>
  <c r="W39" i="3"/>
  <c r="AB39" i="3" s="1"/>
  <c r="V39" i="3"/>
  <c r="AA39" i="3" s="1"/>
  <c r="U39" i="3"/>
  <c r="Z39" i="3" s="1"/>
  <c r="BR4" i="3" l="1"/>
  <c r="BR5" i="3"/>
  <c r="BR6" i="3"/>
  <c r="BR7" i="3"/>
  <c r="BR8" i="3"/>
  <c r="BR9" i="3"/>
  <c r="BQ5" i="3"/>
  <c r="BQ6" i="3"/>
  <c r="BQ7" i="3"/>
  <c r="BQ8" i="3"/>
  <c r="BQ9" i="3"/>
  <c r="BQ4" i="3"/>
  <c r="BP5" i="3"/>
  <c r="BP6" i="3"/>
  <c r="BP7" i="3"/>
  <c r="BP8" i="3"/>
  <c r="BP9" i="3"/>
  <c r="BP4" i="3"/>
  <c r="BB4" i="3"/>
  <c r="BB5" i="3"/>
  <c r="BB6" i="3"/>
  <c r="BB7" i="3"/>
  <c r="BB8" i="3"/>
  <c r="BB9" i="3"/>
  <c r="BA4" i="3"/>
  <c r="BA5" i="3"/>
  <c r="BA6" i="3"/>
  <c r="BA7" i="3"/>
  <c r="BA8" i="3"/>
  <c r="BA9" i="3"/>
  <c r="AZ4" i="3"/>
  <c r="AZ5" i="3"/>
  <c r="AZ6" i="3"/>
  <c r="AZ7" i="3"/>
  <c r="AZ8" i="3"/>
  <c r="AZ9" i="3"/>
  <c r="AY4" i="3"/>
  <c r="AY5" i="3"/>
  <c r="AY6" i="3"/>
  <c r="AY7" i="3"/>
  <c r="AY8" i="3"/>
  <c r="AY9" i="3"/>
  <c r="AX4" i="3"/>
  <c r="AX5" i="3"/>
  <c r="AX6" i="3"/>
  <c r="AX7" i="3"/>
  <c r="AX8" i="3"/>
  <c r="AX9" i="3"/>
  <c r="AW4" i="3"/>
  <c r="AW5" i="3"/>
  <c r="AW6" i="3"/>
  <c r="AW7" i="3"/>
  <c r="AW8" i="3"/>
  <c r="AW9" i="3"/>
  <c r="BG6" i="3" l="1"/>
  <c r="BM6" i="3" s="1"/>
  <c r="BE6" i="3"/>
  <c r="BK6" i="3" s="1"/>
  <c r="BH6" i="3"/>
  <c r="BN6" i="3" s="1"/>
  <c r="BF6" i="3"/>
  <c r="BL6" i="3" s="1"/>
  <c r="BD6" i="3"/>
  <c r="BJ6" i="3" s="1"/>
  <c r="BD9" i="3"/>
  <c r="BJ9" i="3" s="1"/>
  <c r="BG9" i="3"/>
  <c r="BM9" i="3" s="1"/>
  <c r="BE9" i="3"/>
  <c r="BK9" i="3" s="1"/>
  <c r="BH9" i="3"/>
  <c r="BN9" i="3" s="1"/>
  <c r="BF9" i="3"/>
  <c r="BL9" i="3" s="1"/>
  <c r="BD5" i="3"/>
  <c r="BJ5" i="3" s="1"/>
  <c r="BG5" i="3"/>
  <c r="BM5" i="3" s="1"/>
  <c r="BE5" i="3"/>
  <c r="BK5" i="3" s="1"/>
  <c r="BH5" i="3"/>
  <c r="BN5" i="3" s="1"/>
  <c r="BF5" i="3"/>
  <c r="BL5" i="3" s="1"/>
  <c r="BH8" i="3"/>
  <c r="BN8" i="3" s="1"/>
  <c r="BF8" i="3"/>
  <c r="BL8" i="3" s="1"/>
  <c r="BD8" i="3"/>
  <c r="BJ8" i="3" s="1"/>
  <c r="BG8" i="3"/>
  <c r="BM8" i="3" s="1"/>
  <c r="BE8" i="3"/>
  <c r="BK8" i="3" s="1"/>
  <c r="BH4" i="3"/>
  <c r="BN4" i="3" s="1"/>
  <c r="BF4" i="3"/>
  <c r="BL4" i="3" s="1"/>
  <c r="BD4" i="3"/>
  <c r="BJ4" i="3" s="1"/>
  <c r="BG4" i="3"/>
  <c r="BM4" i="3" s="1"/>
  <c r="BE4" i="3"/>
  <c r="BK4" i="3" s="1"/>
  <c r="BC7" i="3"/>
  <c r="BI7" i="3" s="1"/>
  <c r="BH7" i="3"/>
  <c r="BN7" i="3" s="1"/>
  <c r="BF7" i="3"/>
  <c r="BL7" i="3" s="1"/>
  <c r="BD7" i="3"/>
  <c r="BJ7" i="3" s="1"/>
  <c r="BG7" i="3"/>
  <c r="BM7" i="3" s="1"/>
  <c r="BE7" i="3"/>
  <c r="BK7" i="3" s="1"/>
  <c r="BW6" i="3"/>
  <c r="CC6" i="3" s="1"/>
  <c r="BX6" i="3"/>
  <c r="CD6" i="3" s="1"/>
  <c r="BU6" i="3"/>
  <c r="CA6" i="3" s="1"/>
  <c r="BT6" i="3"/>
  <c r="BZ6" i="3" s="1"/>
  <c r="BV6" i="3"/>
  <c r="CB6" i="3" s="1"/>
  <c r="BU9" i="3"/>
  <c r="CA9" i="3" s="1"/>
  <c r="BT9" i="3"/>
  <c r="BZ9" i="3" s="1"/>
  <c r="BX9" i="3"/>
  <c r="CD9" i="3" s="1"/>
  <c r="BV9" i="3"/>
  <c r="CB9" i="3" s="1"/>
  <c r="BW9" i="3"/>
  <c r="CC9" i="3" s="1"/>
  <c r="BU5" i="3"/>
  <c r="CA5" i="3" s="1"/>
  <c r="BX5" i="3"/>
  <c r="CD5" i="3" s="1"/>
  <c r="BV5" i="3"/>
  <c r="CB5" i="3" s="1"/>
  <c r="BT5" i="3"/>
  <c r="BZ5" i="3" s="1"/>
  <c r="BW5" i="3"/>
  <c r="CC5" i="3" s="1"/>
  <c r="BX8" i="3"/>
  <c r="CD8" i="3" s="1"/>
  <c r="BV8" i="3"/>
  <c r="CB8" i="3" s="1"/>
  <c r="BU8" i="3"/>
  <c r="CA8" i="3" s="1"/>
  <c r="BT8" i="3"/>
  <c r="BZ8" i="3" s="1"/>
  <c r="BW8" i="3"/>
  <c r="CC8" i="3" s="1"/>
  <c r="BX4" i="3"/>
  <c r="CD4" i="3" s="1"/>
  <c r="BV4" i="3"/>
  <c r="CB4" i="3" s="1"/>
  <c r="BW4" i="3"/>
  <c r="CC4" i="3" s="1"/>
  <c r="BT4" i="3"/>
  <c r="BZ4" i="3" s="1"/>
  <c r="BU4" i="3"/>
  <c r="CA4" i="3" s="1"/>
  <c r="BT7" i="3"/>
  <c r="BZ7" i="3" s="1"/>
  <c r="BX7" i="3"/>
  <c r="CD7" i="3" s="1"/>
  <c r="BV7" i="3"/>
  <c r="CB7" i="3" s="1"/>
  <c r="BW7" i="3"/>
  <c r="CC7" i="3" s="1"/>
  <c r="BU7" i="3"/>
  <c r="CA7" i="3" s="1"/>
  <c r="BS5" i="3"/>
  <c r="BY5" i="3" s="1"/>
  <c r="BS7" i="3"/>
  <c r="BY7" i="3" s="1"/>
  <c r="BS6" i="3"/>
  <c r="BY6" i="3" s="1"/>
  <c r="BS9" i="3"/>
  <c r="BY9" i="3" s="1"/>
  <c r="BS4" i="3"/>
  <c r="BY4" i="3" s="1"/>
  <c r="BS8" i="3"/>
  <c r="BY8" i="3" s="1"/>
  <c r="BC5" i="3"/>
  <c r="BI5" i="3" s="1"/>
  <c r="BC9" i="3"/>
  <c r="BI9" i="3" s="1"/>
  <c r="BC4" i="3"/>
  <c r="BI4" i="3" s="1"/>
  <c r="BC6" i="3"/>
  <c r="BI6" i="3" s="1"/>
  <c r="BC8" i="3"/>
  <c r="BI8" i="3" s="1"/>
  <c r="P14" i="5" l="1"/>
  <c r="D71" i="5"/>
  <c r="D21" i="6" s="1"/>
  <c r="C4" i="5"/>
  <c r="P28" i="5" l="1"/>
  <c r="C71" i="5"/>
  <c r="C21" i="6" l="1"/>
  <c r="H21" i="6" s="1"/>
  <c r="AD5" i="3"/>
  <c r="AE5" i="3"/>
  <c r="AF5" i="3"/>
  <c r="AG5" i="3"/>
  <c r="AH5" i="3"/>
  <c r="AI5" i="3"/>
  <c r="AD6" i="3"/>
  <c r="AE6" i="3"/>
  <c r="AF6" i="3"/>
  <c r="AG6" i="3"/>
  <c r="AH6" i="3"/>
  <c r="AI6" i="3"/>
  <c r="AD7" i="3"/>
  <c r="AE7" i="3"/>
  <c r="AF7" i="3"/>
  <c r="AG7" i="3"/>
  <c r="AH7" i="3"/>
  <c r="AI7" i="3"/>
  <c r="AD8" i="3"/>
  <c r="AE8" i="3"/>
  <c r="AF8" i="3"/>
  <c r="AG8" i="3"/>
  <c r="AH8" i="3"/>
  <c r="AI8" i="3"/>
  <c r="AD9" i="3"/>
  <c r="AE9" i="3"/>
  <c r="AF9" i="3"/>
  <c r="AG9" i="3"/>
  <c r="AH9" i="3"/>
  <c r="AI9" i="3"/>
  <c r="AE4" i="3"/>
  <c r="AF4" i="3"/>
  <c r="AG4" i="3"/>
  <c r="AH4" i="3"/>
  <c r="AI4" i="3"/>
  <c r="AD4" i="3"/>
  <c r="AN9" i="3" l="1"/>
  <c r="AT9" i="3" s="1"/>
  <c r="AO9" i="3"/>
  <c r="AU9" i="3" s="1"/>
  <c r="AM9" i="3"/>
  <c r="AS9" i="3" s="1"/>
  <c r="AK9" i="3"/>
  <c r="AQ9" i="3" s="1"/>
  <c r="AL9" i="3"/>
  <c r="AR9" i="3" s="1"/>
  <c r="AO7" i="3"/>
  <c r="AU7" i="3" s="1"/>
  <c r="AM7" i="3"/>
  <c r="AS7" i="3" s="1"/>
  <c r="AN7" i="3"/>
  <c r="AT7" i="3" s="1"/>
  <c r="AL7" i="3"/>
  <c r="AR7" i="3" s="1"/>
  <c r="AK7" i="3"/>
  <c r="AQ7" i="3" s="1"/>
  <c r="AO5" i="3"/>
  <c r="AU5" i="3" s="1"/>
  <c r="AM5" i="3"/>
  <c r="AS5" i="3" s="1"/>
  <c r="AK5" i="3"/>
  <c r="AQ5" i="3" s="1"/>
  <c r="AN5" i="3"/>
  <c r="AT5" i="3" s="1"/>
  <c r="AL5" i="3"/>
  <c r="AR5" i="3" s="1"/>
  <c r="AO8" i="3"/>
  <c r="AU8" i="3" s="1"/>
  <c r="AM8" i="3"/>
  <c r="AS8" i="3" s="1"/>
  <c r="AK8" i="3"/>
  <c r="AQ8" i="3" s="1"/>
  <c r="AN8" i="3"/>
  <c r="AT8" i="3" s="1"/>
  <c r="AL8" i="3"/>
  <c r="AR8" i="3" s="1"/>
  <c r="AN6" i="3"/>
  <c r="AT6" i="3" s="1"/>
  <c r="AL6" i="3"/>
  <c r="AR6" i="3" s="1"/>
  <c r="AK6" i="3"/>
  <c r="AQ6" i="3" s="1"/>
  <c r="AO6" i="3"/>
  <c r="AU6" i="3" s="1"/>
  <c r="AM6" i="3"/>
  <c r="AS6" i="3" s="1"/>
  <c r="AO4" i="3"/>
  <c r="AU4" i="3" s="1"/>
  <c r="AM4" i="3"/>
  <c r="AS4" i="3" s="1"/>
  <c r="AK4" i="3"/>
  <c r="AQ4" i="3" s="1"/>
  <c r="AN4" i="3"/>
  <c r="AT4" i="3" s="1"/>
  <c r="AL4" i="3"/>
  <c r="AR4" i="3" s="1"/>
  <c r="AJ9" i="3"/>
  <c r="AP9" i="3" s="1"/>
  <c r="AJ5" i="3"/>
  <c r="AP5" i="3" s="1"/>
  <c r="AJ8" i="3"/>
  <c r="AP8" i="3" s="1"/>
  <c r="AJ7" i="3"/>
  <c r="AP7" i="3" s="1"/>
  <c r="AJ4" i="3"/>
  <c r="AP4" i="3" s="1"/>
  <c r="AJ6" i="3"/>
  <c r="AP6" i="3" s="1"/>
  <c r="R24" i="3"/>
  <c r="T24" i="3" s="1"/>
  <c r="Y24" i="3" s="1"/>
  <c r="R23" i="3"/>
  <c r="T23" i="3" s="1"/>
  <c r="Y23" i="3" s="1"/>
  <c r="R22" i="3"/>
  <c r="T22" i="3" s="1"/>
  <c r="Y22" i="3" s="1"/>
  <c r="R21" i="3"/>
  <c r="T21" i="3" s="1"/>
  <c r="Y21" i="3" s="1"/>
  <c r="R20" i="3"/>
  <c r="T20" i="3" s="1"/>
  <c r="Y20" i="3" s="1"/>
  <c r="R19" i="3"/>
  <c r="T19" i="3" s="1"/>
  <c r="Y19" i="3" s="1"/>
  <c r="R18" i="3"/>
  <c r="T18" i="3" s="1"/>
  <c r="Y18" i="3" s="1"/>
  <c r="R17" i="3"/>
  <c r="T17" i="3" s="1"/>
  <c r="Y17" i="3" s="1"/>
  <c r="R16" i="3"/>
  <c r="T16" i="3" s="1"/>
  <c r="Y16" i="3" s="1"/>
  <c r="R15" i="3"/>
  <c r="T15" i="3" s="1"/>
  <c r="Y15" i="3" s="1"/>
  <c r="P24" i="3"/>
  <c r="P23" i="3"/>
  <c r="P22" i="3"/>
  <c r="P21" i="3"/>
  <c r="P20" i="3"/>
  <c r="P19" i="3"/>
  <c r="P18" i="3"/>
  <c r="P17" i="3"/>
  <c r="P16" i="3"/>
  <c r="P15" i="3"/>
  <c r="R14" i="3"/>
  <c r="T14" i="3" s="1"/>
  <c r="Y14" i="3" s="1"/>
  <c r="R13" i="3"/>
  <c r="T13" i="3" s="1"/>
  <c r="Y13" i="3" s="1"/>
  <c r="R12" i="3"/>
  <c r="T12" i="3" s="1"/>
  <c r="Y12" i="3" s="1"/>
  <c r="R11" i="3"/>
  <c r="T11" i="3" s="1"/>
  <c r="Y11" i="3" s="1"/>
  <c r="R10" i="3"/>
  <c r="T10" i="3" s="1"/>
  <c r="Y10" i="3" s="1"/>
  <c r="R9" i="3"/>
  <c r="T9" i="3" s="1"/>
  <c r="Y9" i="3" s="1"/>
  <c r="P13" i="3"/>
  <c r="P14" i="3"/>
  <c r="P12" i="3"/>
  <c r="P11" i="3"/>
  <c r="P10" i="3"/>
  <c r="P9" i="3"/>
  <c r="R8" i="3"/>
  <c r="T8" i="3" s="1"/>
  <c r="Y8" i="3" s="1"/>
  <c r="R7" i="3"/>
  <c r="T7" i="3" s="1"/>
  <c r="Y7" i="3" s="1"/>
  <c r="R6" i="3"/>
  <c r="T6" i="3" s="1"/>
  <c r="Y6" i="3" s="1"/>
  <c r="R5" i="3"/>
  <c r="T5" i="3" s="1"/>
  <c r="Y5" i="3" s="1"/>
  <c r="P8" i="3"/>
  <c r="Q8" i="3" s="1"/>
  <c r="P7" i="3"/>
  <c r="P6" i="3"/>
  <c r="P5" i="3"/>
  <c r="R4" i="3"/>
  <c r="T4" i="3" s="1"/>
  <c r="Y4" i="3" s="1"/>
  <c r="P4" i="3"/>
  <c r="Q23" i="3" l="1"/>
  <c r="Q17" i="3"/>
  <c r="Q18" i="3"/>
  <c r="S9" i="3"/>
  <c r="S10" i="3"/>
  <c r="S12" i="3"/>
  <c r="S18" i="3"/>
  <c r="Q7" i="3"/>
  <c r="S13" i="3"/>
  <c r="Q21" i="3"/>
  <c r="S19" i="3"/>
  <c r="S21" i="3"/>
  <c r="S6" i="3"/>
  <c r="Q24" i="3"/>
  <c r="S22" i="3"/>
  <c r="S15" i="3"/>
  <c r="S23" i="3"/>
  <c r="S5" i="3"/>
  <c r="S4" i="3"/>
  <c r="S16" i="3"/>
  <c r="S24" i="3"/>
  <c r="S14" i="3"/>
  <c r="S20" i="3"/>
  <c r="S7" i="3"/>
  <c r="S8" i="3"/>
  <c r="S11" i="3"/>
  <c r="S17" i="3"/>
  <c r="Q5" i="3"/>
  <c r="Q9" i="3"/>
  <c r="Q6" i="3"/>
  <c r="Q11" i="3"/>
  <c r="Q14" i="3"/>
  <c r="Q13" i="3"/>
  <c r="Q22" i="3"/>
  <c r="Q20" i="3"/>
  <c r="Q19" i="3"/>
  <c r="Q16" i="3"/>
  <c r="Q15" i="3"/>
  <c r="Q12" i="3"/>
  <c r="Q10" i="3"/>
  <c r="Q4" i="3"/>
  <c r="X11" i="3" l="1"/>
  <c r="V11" i="3"/>
  <c r="AA11" i="3" s="1"/>
  <c r="W11" i="3"/>
  <c r="AB11" i="3" s="1"/>
  <c r="U11" i="3"/>
  <c r="Z11" i="3" s="1"/>
  <c r="U8" i="3"/>
  <c r="Z8" i="3" s="1"/>
  <c r="W8" i="3"/>
  <c r="AB8" i="3" s="1"/>
  <c r="X8" i="3"/>
  <c r="V8" i="3"/>
  <c r="AA8" i="3" s="1"/>
  <c r="U24" i="3"/>
  <c r="Z24" i="3" s="1"/>
  <c r="X24" i="3"/>
  <c r="W24" i="3"/>
  <c r="AB24" i="3" s="1"/>
  <c r="V24" i="3"/>
  <c r="AA24" i="3" s="1"/>
  <c r="X23" i="3"/>
  <c r="W23" i="3"/>
  <c r="AB23" i="3" s="1"/>
  <c r="V23" i="3"/>
  <c r="AA23" i="3" s="1"/>
  <c r="U23" i="3"/>
  <c r="Z23" i="3" s="1"/>
  <c r="W6" i="3"/>
  <c r="AB6" i="3" s="1"/>
  <c r="V6" i="3"/>
  <c r="AA6" i="3" s="1"/>
  <c r="U6" i="3"/>
  <c r="Z6" i="3" s="1"/>
  <c r="X6" i="3"/>
  <c r="V13" i="3"/>
  <c r="AA13" i="3" s="1"/>
  <c r="U13" i="3"/>
  <c r="Z13" i="3" s="1"/>
  <c r="X13" i="3"/>
  <c r="W13" i="3"/>
  <c r="AB13" i="3" s="1"/>
  <c r="W10" i="3"/>
  <c r="AB10" i="3" s="1"/>
  <c r="U10" i="3"/>
  <c r="Z10" i="3" s="1"/>
  <c r="V10" i="3"/>
  <c r="AA10" i="3" s="1"/>
  <c r="X10" i="3"/>
  <c r="W14" i="3"/>
  <c r="AB14" i="3" s="1"/>
  <c r="V14" i="3"/>
  <c r="AA14" i="3" s="1"/>
  <c r="U14" i="3"/>
  <c r="Z14" i="3" s="1"/>
  <c r="X14" i="3"/>
  <c r="V5" i="3"/>
  <c r="AA5" i="3" s="1"/>
  <c r="U5" i="3"/>
  <c r="Z5" i="3" s="1"/>
  <c r="X5" i="3"/>
  <c r="W5" i="3"/>
  <c r="AB5" i="3" s="1"/>
  <c r="U12" i="3"/>
  <c r="Z12" i="3" s="1"/>
  <c r="X12" i="3"/>
  <c r="W12" i="3"/>
  <c r="AB12" i="3" s="1"/>
  <c r="V12" i="3"/>
  <c r="AA12" i="3" s="1"/>
  <c r="X7" i="3"/>
  <c r="W7" i="3"/>
  <c r="AB7" i="3" s="1"/>
  <c r="V7" i="3"/>
  <c r="AA7" i="3" s="1"/>
  <c r="U7" i="3"/>
  <c r="Z7" i="3" s="1"/>
  <c r="U16" i="3"/>
  <c r="Z16" i="3" s="1"/>
  <c r="X16" i="3"/>
  <c r="W16" i="3"/>
  <c r="AB16" i="3" s="1"/>
  <c r="V16" i="3"/>
  <c r="AA16" i="3" s="1"/>
  <c r="X15" i="3"/>
  <c r="W15" i="3"/>
  <c r="AB15" i="3" s="1"/>
  <c r="V15" i="3"/>
  <c r="AA15" i="3" s="1"/>
  <c r="U15" i="3"/>
  <c r="Z15" i="3" s="1"/>
  <c r="V21" i="3"/>
  <c r="AA21" i="3" s="1"/>
  <c r="U21" i="3"/>
  <c r="Z21" i="3" s="1"/>
  <c r="X21" i="3"/>
  <c r="W21" i="3"/>
  <c r="AB21" i="3" s="1"/>
  <c r="V9" i="3"/>
  <c r="AA9" i="3" s="1"/>
  <c r="U9" i="3"/>
  <c r="Z9" i="3" s="1"/>
  <c r="X9" i="3"/>
  <c r="W9" i="3"/>
  <c r="AB9" i="3" s="1"/>
  <c r="V17" i="3"/>
  <c r="AA17" i="3" s="1"/>
  <c r="U17" i="3"/>
  <c r="Z17" i="3" s="1"/>
  <c r="X17" i="3"/>
  <c r="W17" i="3"/>
  <c r="AB17" i="3" s="1"/>
  <c r="U20" i="3"/>
  <c r="Z20" i="3" s="1"/>
  <c r="W20" i="3"/>
  <c r="AB20" i="3" s="1"/>
  <c r="X20" i="3"/>
  <c r="V20" i="3"/>
  <c r="AA20" i="3" s="1"/>
  <c r="V4" i="3"/>
  <c r="AA4" i="3" s="1"/>
  <c r="U4" i="3"/>
  <c r="Z4" i="3" s="1"/>
  <c r="X4" i="3"/>
  <c r="W4" i="3"/>
  <c r="AB4" i="3" s="1"/>
  <c r="W22" i="3"/>
  <c r="AB22" i="3" s="1"/>
  <c r="V22" i="3"/>
  <c r="AA22" i="3" s="1"/>
  <c r="U22" i="3"/>
  <c r="Z22" i="3" s="1"/>
  <c r="X22" i="3"/>
  <c r="X19" i="3"/>
  <c r="V19" i="3"/>
  <c r="AA19" i="3" s="1"/>
  <c r="W19" i="3"/>
  <c r="AB19" i="3" s="1"/>
  <c r="U19" i="3"/>
  <c r="Z19" i="3" s="1"/>
  <c r="W18" i="3"/>
  <c r="AB18" i="3" s="1"/>
  <c r="U18" i="3"/>
  <c r="Z18" i="3" s="1"/>
  <c r="V18" i="3"/>
  <c r="AA18" i="3" s="1"/>
  <c r="X18" i="3"/>
  <c r="D48" i="4" l="1"/>
  <c r="C48" i="4"/>
  <c r="B77" i="5" s="1"/>
  <c r="D32" i="7" l="1"/>
  <c r="D39" i="7" s="1"/>
  <c r="D40" i="7" s="1"/>
  <c r="C77" i="5"/>
  <c r="C32" i="7"/>
  <c r="C39" i="7"/>
  <c r="D54" i="4"/>
  <c r="D61" i="4" s="1"/>
  <c r="C54" i="4"/>
  <c r="C61" i="4" s="1"/>
  <c r="C27" i="6" l="1"/>
  <c r="C40" i="7"/>
  <c r="D62" i="4"/>
  <c r="D27" i="6"/>
  <c r="E17" i="7"/>
  <c r="E48" i="4"/>
  <c r="E32" i="7" l="1"/>
  <c r="E39" i="7" s="1"/>
  <c r="E40" i="7" s="1"/>
  <c r="D77" i="5"/>
  <c r="C62" i="4"/>
  <c r="D63" i="4"/>
  <c r="D41" i="7"/>
  <c r="D51" i="7"/>
  <c r="D13" i="6" s="1"/>
  <c r="D17" i="7"/>
  <c r="H46" i="4"/>
  <c r="G48" i="4"/>
  <c r="G32" i="7" s="1"/>
  <c r="F48" i="4"/>
  <c r="F32" i="7" s="1"/>
  <c r="F39" i="7" s="1"/>
  <c r="F40" i="7" s="1"/>
  <c r="E54" i="4"/>
  <c r="E61" i="4" s="1"/>
  <c r="C41" i="7" l="1"/>
  <c r="C42" i="7"/>
  <c r="H48" i="4"/>
  <c r="G77" i="5" s="1"/>
  <c r="H8" i="6"/>
  <c r="H10" i="6" s="1"/>
  <c r="F17" i="7"/>
  <c r="E62" i="4"/>
  <c r="C63" i="4"/>
  <c r="C64" i="4"/>
  <c r="I12" i="7"/>
  <c r="I17" i="7" s="1"/>
  <c r="C51" i="7"/>
  <c r="C13" i="6" s="1"/>
  <c r="F54" i="4"/>
  <c r="F61" i="4" s="1"/>
  <c r="G54" i="4"/>
  <c r="G61" i="4" s="1"/>
  <c r="H32" i="7" l="1"/>
  <c r="F62" i="4"/>
  <c r="C43" i="7"/>
  <c r="C44" i="7"/>
  <c r="C45" i="7" s="1"/>
  <c r="C48" i="7" s="1"/>
  <c r="E63" i="4"/>
  <c r="H63" i="4" s="1"/>
  <c r="E41" i="7"/>
  <c r="H41" i="7" s="1"/>
  <c r="E27" i="6"/>
  <c r="C65" i="4"/>
  <c r="E51" i="7"/>
  <c r="E13" i="6" s="1"/>
  <c r="C66" i="4"/>
  <c r="H54" i="4"/>
  <c r="C28" i="6" l="1"/>
  <c r="C67" i="4"/>
  <c r="C53" i="7" s="1"/>
  <c r="C46" i="7"/>
  <c r="F27" i="6"/>
  <c r="D42" i="7"/>
  <c r="H51" i="7"/>
  <c r="H13" i="6" s="1"/>
  <c r="D64" i="4"/>
  <c r="D65" i="4" s="1"/>
  <c r="D43" i="7" l="1"/>
  <c r="E42" i="7" s="1"/>
  <c r="D44" i="7"/>
  <c r="E64" i="4"/>
  <c r="E65" i="4" s="1"/>
  <c r="D66" i="4"/>
  <c r="D45" i="7" l="1"/>
  <c r="D46" i="7" s="1"/>
  <c r="E44" i="7"/>
  <c r="E43" i="7"/>
  <c r="D67" i="4"/>
  <c r="E66" i="4"/>
  <c r="C68" i="4"/>
  <c r="F64" i="4"/>
  <c r="F65" i="4" s="1"/>
  <c r="D28" i="6"/>
  <c r="D48" i="7" l="1"/>
  <c r="F42" i="7"/>
  <c r="E45" i="7"/>
  <c r="E46" i="7" s="1"/>
  <c r="E67" i="4"/>
  <c r="F66" i="4"/>
  <c r="D68" i="4"/>
  <c r="E28" i="6"/>
  <c r="C54" i="7"/>
  <c r="C29" i="6"/>
  <c r="C70" i="4"/>
  <c r="C15" i="6"/>
  <c r="C35" i="6" s="1"/>
  <c r="C33" i="7" l="1"/>
  <c r="C34" i="7" s="1"/>
  <c r="C55" i="4"/>
  <c r="C56" i="4" s="1"/>
  <c r="C30" i="6" s="1"/>
  <c r="E48" i="7"/>
  <c r="F43" i="7"/>
  <c r="F44" i="7"/>
  <c r="B60" i="7"/>
  <c r="C16" i="6"/>
  <c r="C24" i="6" s="1"/>
  <c r="F68" i="4" l="1"/>
  <c r="E68" i="4"/>
  <c r="F28" i="6"/>
  <c r="D53" i="7"/>
  <c r="D54" i="7" s="1"/>
  <c r="D33" i="7" s="1"/>
  <c r="D29" i="6"/>
  <c r="D15" i="6"/>
  <c r="D35" i="6" s="1"/>
  <c r="D70" i="4"/>
  <c r="D34" i="7" l="1"/>
  <c r="D16" i="6"/>
  <c r="D24" i="6" s="1"/>
  <c r="C60" i="7"/>
  <c r="D55" i="4"/>
  <c r="D56" i="4" s="1"/>
  <c r="D30" i="6" s="1"/>
  <c r="E70" i="4" l="1"/>
  <c r="E53" i="7"/>
  <c r="E29" i="6"/>
  <c r="E15" i="6"/>
  <c r="E35" i="6" s="1"/>
  <c r="E54" i="7" l="1"/>
  <c r="E33" i="7" s="1"/>
  <c r="E34" i="7" l="1"/>
  <c r="D60" i="7"/>
  <c r="E16" i="6"/>
  <c r="E24" i="6" s="1"/>
  <c r="E55" i="4"/>
  <c r="E56" i="4" l="1"/>
  <c r="E30" i="6" s="1"/>
  <c r="G39" i="7" l="1"/>
  <c r="G62" i="4" l="1"/>
  <c r="G27" i="6"/>
  <c r="H61" i="4"/>
  <c r="H27" i="6" s="1"/>
  <c r="F67" i="4"/>
  <c r="G64" i="4"/>
  <c r="G40" i="7"/>
  <c r="H39" i="7"/>
  <c r="G42" i="7"/>
  <c r="F45" i="7"/>
  <c r="G65" i="4" l="1"/>
  <c r="G67" i="4" s="1"/>
  <c r="H67" i="4" s="1"/>
  <c r="G66" i="4"/>
  <c r="H64" i="4"/>
  <c r="F15" i="6"/>
  <c r="F35" i="6" s="1"/>
  <c r="F70" i="4"/>
  <c r="F29" i="6"/>
  <c r="F53" i="7"/>
  <c r="H62" i="4"/>
  <c r="H68" i="4" s="1"/>
  <c r="G68" i="4"/>
  <c r="G44" i="7"/>
  <c r="H44" i="7" s="1"/>
  <c r="G43" i="7"/>
  <c r="G45" i="7" s="1"/>
  <c r="G48" i="7" s="1"/>
  <c r="F48" i="7"/>
  <c r="H40" i="7"/>
  <c r="H46" i="7" s="1"/>
  <c r="H47" i="7" s="1"/>
  <c r="H31" i="6" l="1"/>
  <c r="H32" i="6" s="1"/>
  <c r="H69" i="4"/>
  <c r="F54" i="7"/>
  <c r="H15" i="6"/>
  <c r="H35" i="6" s="1"/>
  <c r="H29" i="6"/>
  <c r="H70" i="4"/>
  <c r="G28" i="6"/>
  <c r="H66" i="4"/>
  <c r="H28" i="6" s="1"/>
  <c r="G15" i="6"/>
  <c r="G35" i="6" s="1"/>
  <c r="G70" i="4"/>
  <c r="G53" i="7"/>
  <c r="G54" i="7" s="1"/>
  <c r="G29" i="6"/>
  <c r="H45" i="7"/>
  <c r="H48" i="7" s="1"/>
  <c r="F33" i="7" l="1"/>
  <c r="E60" i="7"/>
  <c r="F16" i="6"/>
  <c r="F24" i="6" s="1"/>
  <c r="F55" i="4"/>
  <c r="G33" i="7"/>
  <c r="G34" i="7" s="1"/>
  <c r="F60" i="7"/>
  <c r="G55" i="4"/>
  <c r="G56" i="4" s="1"/>
  <c r="G30" i="6" s="1"/>
  <c r="G16" i="6"/>
  <c r="G24" i="6" s="1"/>
  <c r="H53" i="7"/>
  <c r="H54" i="7" s="1"/>
  <c r="G60" i="7" l="1"/>
  <c r="H33" i="6" s="1"/>
  <c r="H34" i="6" s="1"/>
  <c r="H16" i="6"/>
  <c r="H24" i="6" s="1"/>
  <c r="F56" i="4"/>
  <c r="F30" i="6" s="1"/>
  <c r="H55" i="4"/>
  <c r="H56" i="4" s="1"/>
  <c r="H30" i="6" s="1"/>
  <c r="F34" i="7"/>
  <c r="H33" i="7"/>
  <c r="H3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Rohan Wighton</author>
  </authors>
  <commentList>
    <comment ref="B3" authorId="0" shapeId="0" xr:uid="{D7D14FCD-53CF-4B85-8CD1-7FB7812F307B}">
      <text>
        <r>
          <rPr>
            <b/>
            <sz val="9"/>
            <color indexed="81"/>
            <rFont val="Tahoma"/>
            <family val="2"/>
          </rPr>
          <t>Rohan Wighton:</t>
        </r>
        <r>
          <rPr>
            <sz val="9"/>
            <color indexed="81"/>
            <rFont val="Tahoma"/>
            <family val="2"/>
          </rPr>
          <t xml:space="preserve">
Values taken from "23 December 2023 2% increase" field, unisa-enterprise-agreement-2023---final.pdf @ https://i.unisa.edu.au/siteassets/human-resources/ptc/files/employee-relations/new-ea/unisa-enterprise-agreement-2023---final.pdf on 5/7/23</t>
        </r>
      </text>
    </comment>
  </commentList>
</comments>
</file>

<file path=xl/sharedStrings.xml><?xml version="1.0" encoding="utf-8"?>
<sst xmlns="http://schemas.openxmlformats.org/spreadsheetml/2006/main" count="725" uniqueCount="354">
  <si>
    <t>CRC SAAFE Project Budget Calculator Instructions</t>
  </si>
  <si>
    <t>Introduction</t>
  </si>
  <si>
    <t xml:space="preserve">All expenditure must be eligible according to the Commonwealth CRC Round 23 Program Guidelines. CRC SAAFE reserves the right to reject ineligible items. Ultimate responsibility for eligibility rests with the applicant.
</t>
  </si>
  <si>
    <t xml:space="preserve">- CRC SAAFE will fund up to 50% of eligible project costs (excluding un-leveraged additional cash contributions)
- Partner Cash Contributions (leveraged) must equal at least 50% of total cash expenditure. 
- In-Kind contributions should meet or exceed 1:2 Cash to In-Kind ratio across the life of the project. 
The budget tool includes automatic checks for these requirements. The CRC may still approve multi-year projects if the overall balance is appropriate, even if individual years vary. </t>
  </si>
  <si>
    <t xml:space="preserve">Eligible Expenditure Summary 
Eligible expenditure must be:
•        Incurred within the project period
•        A direct cost of the project
•        Supported by appropriate evidence (invoices, receipts, contracts, etc.)
</t>
  </si>
  <si>
    <t xml:space="preserve">For the full list of eligible and ineligible expenses, please refer to the official Round 23 Program Guidelines: Download here and the CRC SAAFE Project Development Guidelines. 'If you are unsure whether an item is eligible, contact the CRC SAAFE Research Operations team at projects@crcsaafe.com.au and a member of the team will assist you. </t>
  </si>
  <si>
    <t>Round 23 Program Guidelines</t>
  </si>
  <si>
    <t>CRCSAAFE Project Development Guidelines</t>
  </si>
  <si>
    <t xml:space="preserve">Key Contacts &amp; Support
•          Research Operations Team: projects@crcsaafe.com.au 
•          General Enquiries: team@crcsaafe.com.au 
</t>
  </si>
  <si>
    <t>•        CRC SAAFE Website &amp; Guidelines</t>
  </si>
  <si>
    <t xml:space="preserve">These instructions are on the first tab of the spreadsheet and should be used in conjuction with the CRC SAAFE Project Development Guidelines, available on the CRC SAAFE website.  </t>
  </si>
  <si>
    <t>Quick Start Guide</t>
  </si>
  <si>
    <r>
      <t xml:space="preserve">- Start with the </t>
    </r>
    <r>
      <rPr>
        <b/>
        <sz val="11"/>
        <color theme="1"/>
        <rFont val="Calibri"/>
        <family val="2"/>
        <scheme val="minor"/>
      </rPr>
      <t>Cash Budget</t>
    </r>
    <r>
      <rPr>
        <sz val="11"/>
        <color theme="1"/>
        <rFont val="Calibri"/>
        <family val="2"/>
        <scheme val="minor"/>
      </rPr>
      <t xml:space="preserve"> sheet to build your project expenditure.</t>
    </r>
  </si>
  <si>
    <r>
      <t xml:space="preserve">- Complete </t>
    </r>
    <r>
      <rPr>
        <b/>
        <sz val="11"/>
        <color theme="1"/>
        <rFont val="Calibri"/>
        <family val="2"/>
        <scheme val="minor"/>
      </rPr>
      <t xml:space="preserve">Cash Contributions </t>
    </r>
    <r>
      <rPr>
        <sz val="11"/>
        <color theme="1"/>
        <rFont val="Calibri"/>
        <family val="2"/>
        <scheme val="minor"/>
      </rPr>
      <t xml:space="preserve">and </t>
    </r>
    <r>
      <rPr>
        <b/>
        <sz val="11"/>
        <color theme="1"/>
        <rFont val="Calibri"/>
        <family val="2"/>
        <scheme val="minor"/>
      </rPr>
      <t>In-Kind Contributions.</t>
    </r>
  </si>
  <si>
    <r>
      <t xml:space="preserve">- Review the </t>
    </r>
    <r>
      <rPr>
        <b/>
        <sz val="11"/>
        <color theme="1"/>
        <rFont val="Calibri"/>
        <family val="2"/>
        <scheme val="minor"/>
      </rPr>
      <t>Budget Summary</t>
    </r>
    <r>
      <rPr>
        <sz val="11"/>
        <color theme="1"/>
        <rFont val="Calibri"/>
        <family val="2"/>
        <scheme val="minor"/>
      </rPr>
      <t xml:space="preserve"> sheet and green check cells. </t>
    </r>
  </si>
  <si>
    <t>- Ensure your budget meets the 50% cash contribution rule and the 1:2 Cash-to-In-Kind ratio.</t>
  </si>
  <si>
    <t>- Contact the CRC SAAFE Research Operations team at projects@crcsaafe.com.au if you have any questions regarding eligibility or requirements.</t>
  </si>
  <si>
    <t>Key Concepts</t>
  </si>
  <si>
    <t xml:space="preserve">Please refer to the CRC Project Development Guidelines for full details on project funding rules, eligible expenditure, and contribution requirements. </t>
  </si>
  <si>
    <t>Key points include:</t>
  </si>
  <si>
    <r>
      <t xml:space="preserve">All expenditure must be </t>
    </r>
    <r>
      <rPr>
        <b/>
        <sz val="11"/>
        <color theme="1"/>
        <rFont val="Calibri"/>
        <family val="2"/>
        <scheme val="minor"/>
      </rPr>
      <t>eligible</t>
    </r>
    <r>
      <rPr>
        <sz val="11"/>
        <color theme="1"/>
        <rFont val="Calibri"/>
        <family val="2"/>
        <scheme val="minor"/>
      </rPr>
      <t xml:space="preserve"> according to the Commonwealth CRC Round 23 Program Guidelines. CRC SAAFE reserves the right to reject ineligible items. Ultimate responsibility for eligibility rests with the applicant.
- CRC SAAFE will fund up to 50% of eligible project costs (excluding un-leveraged additional cash contributions)
- In-Kind contributions should, in total across all project years, have sufficient In-Kind provision to exceed a 1:2 Cash to In-Kind ratio.  This budget tool has conditional checks based on this rule, and CRC SAAFE retains the right to request further In-Kind contributions if this is not met.</t>
    </r>
  </si>
  <si>
    <t>'Budget Summary' Sheet</t>
  </si>
  <si>
    <r>
      <t xml:space="preserve">The 'Budget Summary' worksheet takes all its information from the other sheets in this tool and does not require data entry.  It has been formatted to print in its entirety on a landscaped A4 page and is suitable for use with screen capture software (eg the snipping tool) to extract a summary picture for insertion into your Project Application document.  Key Items to check on this sheet are the 2 green cells, representing the funding percentage check and cash:in-kind ratio check discussed above. </t>
    </r>
    <r>
      <rPr>
        <sz val="11"/>
        <rFont val="Calibri"/>
        <family val="2"/>
        <scheme val="minor"/>
      </rPr>
      <t>An example of a test project budget summary is shown below</t>
    </r>
  </si>
  <si>
    <t>'Cash Budget' Sheet</t>
  </si>
  <si>
    <t>It's likely you'll benefit from completing the 'Cash Budget' sheet prior to moving on to other elements of this tool.  Doing this will allow you to 'size up' your project from an expenditure perspective.  As discussed above, ensuring eligibility of Cash Expenditure items is critical to the success of your application, your project, and your compliance with the Commonwealth CRC program.  We have provided a summary of eligible expenditure from the Round 23 Program Guidelines below in the 'Other Eligible Expenses' section of these instructions.  The Round 23 Program Guidelines themselves can be downloaded here https://business.gov.au/grants-and-programs/cooperative-research-centres-crc-grants</t>
  </si>
  <si>
    <t>Or clicking this link will put them in your downloads folder</t>
  </si>
  <si>
    <t>Table 1 - Project name, start date and duration</t>
  </si>
  <si>
    <t xml:space="preserve">Rows 4 - 6 in the 'Cash Budget' sheet require you to enter your Project's name, start date and duration in months.  Other sheets in this budget tool will copy this information from the 'Cash Budget' sheet so that you only have to enter it once. </t>
  </si>
  <si>
    <t>Table 2 - Staff Salary and Workload Selection</t>
  </si>
  <si>
    <t>Beginning in row 10 of the 'Cash Budget' Sheet, the staff salary and workload selection table allows you to estimate and capture the cash expenses associated with dedicating a range of staff to the project.  Only enter data in white cells,  blue cells are calculated, and red or green cells are automated checks, as follows:</t>
  </si>
  <si>
    <r>
      <t xml:space="preserve">- </t>
    </r>
    <r>
      <rPr>
        <b/>
        <sz val="11"/>
        <rFont val="Calibri"/>
        <family val="2"/>
        <scheme val="minor"/>
      </rPr>
      <t>Partner</t>
    </r>
    <r>
      <rPr>
        <sz val="11"/>
        <rFont val="Calibri"/>
        <family val="2"/>
        <scheme val="minor"/>
      </rPr>
      <t xml:space="preserve"> - Captures which partner organisation a particular staffing resource is from.</t>
    </r>
  </si>
  <si>
    <r>
      <rPr>
        <sz val="11"/>
        <rFont val="Calibri"/>
        <family val="2"/>
        <scheme val="minor"/>
      </rPr>
      <t xml:space="preserve">- </t>
    </r>
    <r>
      <rPr>
        <b/>
        <sz val="11"/>
        <rFont val="Calibri"/>
        <family val="2"/>
        <scheme val="minor"/>
      </rPr>
      <t>Person</t>
    </r>
    <r>
      <rPr>
        <sz val="11"/>
        <rFont val="Calibri"/>
        <family val="2"/>
        <scheme val="minor"/>
      </rPr>
      <t xml:space="preserve"> - The individual's name.  If an individual is replaced across the life of a project a new row should be added to the table, rather than using the same row for two different individuals.</t>
    </r>
  </si>
  <si>
    <r>
      <t xml:space="preserve">- </t>
    </r>
    <r>
      <rPr>
        <b/>
        <sz val="11"/>
        <color theme="1"/>
        <rFont val="Calibri"/>
        <family val="2"/>
        <scheme val="minor"/>
      </rPr>
      <t>Project Role</t>
    </r>
    <r>
      <rPr>
        <sz val="11"/>
        <color theme="1"/>
        <rFont val="Calibri"/>
        <family val="2"/>
        <scheme val="minor"/>
      </rPr>
      <t xml:space="preserve"> - The Project Role this person will hold, this may well be different from their typical 'day job'</t>
    </r>
  </si>
  <si>
    <r>
      <t xml:space="preserve">- </t>
    </r>
    <r>
      <rPr>
        <b/>
        <sz val="11"/>
        <color theme="1"/>
        <rFont val="Calibri"/>
        <family val="2"/>
        <scheme val="minor"/>
      </rPr>
      <t>FTE on project</t>
    </r>
    <r>
      <rPr>
        <sz val="11"/>
        <color theme="1"/>
        <rFont val="Calibri"/>
        <family val="2"/>
        <scheme val="minor"/>
      </rPr>
      <t xml:space="preserve"> - The nominated Full Time Equivalent that the particular resource will be working on completing project activities for that particular project year</t>
    </r>
  </si>
  <si>
    <r>
      <t xml:space="preserve">- </t>
    </r>
    <r>
      <rPr>
        <b/>
        <sz val="11"/>
        <color theme="1"/>
        <rFont val="Calibri"/>
        <family val="2"/>
        <scheme val="minor"/>
      </rPr>
      <t>Proposed Salary</t>
    </r>
    <r>
      <rPr>
        <sz val="11"/>
        <color theme="1"/>
        <rFont val="Calibri"/>
        <family val="2"/>
        <scheme val="minor"/>
      </rPr>
      <t xml:space="preserve"> - The nominated Proposed Salary for the role, presented as inclusive of on-costs upto a maximum of 30%. Typically SAAFE would not expect to fund level D or E academics or research staff with cash through projects, with their contributions generally being contribute as in-kind. Any request for funding for staff at these levels would need significant justification.</t>
    </r>
  </si>
  <si>
    <r>
      <t xml:space="preserve">- </t>
    </r>
    <r>
      <rPr>
        <b/>
        <sz val="11"/>
        <color theme="1"/>
        <rFont val="Calibri"/>
        <family val="2"/>
        <scheme val="minor"/>
      </rPr>
      <t>Project Year Number, FTE on Project</t>
    </r>
    <r>
      <rPr>
        <sz val="11"/>
        <color theme="1"/>
        <rFont val="Calibri"/>
        <family val="2"/>
        <scheme val="minor"/>
      </rPr>
      <t xml:space="preserve"> - This budget tool allows for the capture of 5 project years.  After nominating a salary against a role in previous columns, the amount of time that person is anticipated to dedicate to the project in any of those 5 years is captured in the respective columns.  When completing the budget for part B of your Project Application </t>
    </r>
    <r>
      <rPr>
        <b/>
        <u/>
        <sz val="11"/>
        <color theme="1"/>
        <rFont val="Calibri"/>
        <family val="2"/>
        <scheme val="minor"/>
      </rPr>
      <t>estimate the resource required across all project years and be sure to allocate appropriate time in these cells.</t>
    </r>
  </si>
  <si>
    <t>Table 3 - Other Eligible Expenses</t>
  </si>
  <si>
    <r>
      <t xml:space="preserve">In addition to the eligible expenses captured for staffing and researchers in the table above, this budget tool allows for the capture of other eligible expenses.  </t>
    </r>
    <r>
      <rPr>
        <b/>
        <u/>
        <sz val="11"/>
        <color theme="1"/>
        <rFont val="Calibri"/>
        <family val="2"/>
        <scheme val="minor"/>
      </rPr>
      <t>The table itself should be easy to fill out and anything over $5k should be listed as a separate line item.</t>
    </r>
    <r>
      <rPr>
        <sz val="11"/>
        <color theme="1"/>
        <rFont val="Calibri"/>
        <family val="2"/>
        <scheme val="minor"/>
      </rPr>
      <t xml:space="preserve"> </t>
    </r>
    <r>
      <rPr>
        <b/>
        <sz val="11"/>
        <color theme="1"/>
        <rFont val="Calibri"/>
        <family val="2"/>
        <scheme val="minor"/>
      </rPr>
      <t xml:space="preserve"> </t>
    </r>
    <r>
      <rPr>
        <b/>
        <u/>
        <sz val="11"/>
        <color theme="1"/>
        <rFont val="Calibri"/>
        <family val="2"/>
        <scheme val="minor"/>
      </rPr>
      <t>These expenses are costs directly attributable to the project, such as travel and consumables.</t>
    </r>
    <r>
      <rPr>
        <sz val="11"/>
        <color theme="1"/>
        <rFont val="Calibri"/>
        <family val="2"/>
        <scheme val="minor"/>
      </rPr>
      <t xml:space="preserve"> </t>
    </r>
  </si>
  <si>
    <t>More information about eligible expenses can be found in the Project Development Guidelines</t>
  </si>
  <si>
    <t>Table 3 - Total Cash Expenses</t>
  </si>
  <si>
    <t xml:space="preserve">This table simply brings together total expense information by year from the above expense tables.  This information is used in the following Cash Balance checks and in the 'Budget Summary' Sheet discussed earlier. </t>
  </si>
  <si>
    <t>Table 7 - Total Contributions vs Expenditure</t>
  </si>
  <si>
    <t>This table is a calculated comparison between Total Cash Contributions and Total Cash Expenditure across the budget.  It calculates a basic cash shortfall.</t>
  </si>
  <si>
    <t>Table 8 - Cash Balance (Partner contributions in agreement should be at least 50% of project expenditure)</t>
  </si>
  <si>
    <t>This table will calculate the CRC's contribution to the project by assessing whether or not leveraged partner cash contributions form at least 50% of the project cash budget.  If there are insufficient leveraged partner cash contributions in any one year a check will display 'Outside Funding Parameters'.  If there are insufficient leveraged partner cash contributions across the project in total a check will display 'Outside Funding Parameters' and provide an additional explainer in the cell below (also visible on the 'Budget Summary' sheet)</t>
  </si>
  <si>
    <t>'Cash Contributions' Sheet</t>
  </si>
  <si>
    <t>With the 'Cash Budget' Sheet complete, understanding the amount of cash contributions required for a legitimate project budget will be easier.  The 'Cash Contributions' Sheet only requires two tables to be completed:</t>
  </si>
  <si>
    <r>
      <t xml:space="preserve">- Table 1 - </t>
    </r>
    <r>
      <rPr>
        <b/>
        <sz val="11"/>
        <color theme="1"/>
        <rFont val="Calibri"/>
        <family val="2"/>
        <scheme val="minor"/>
      </rPr>
      <t>Partner Cash Contributions within budget (part of CRC leveraged funds)</t>
    </r>
    <r>
      <rPr>
        <sz val="11"/>
        <color theme="1"/>
        <rFont val="Calibri"/>
        <family val="2"/>
        <scheme val="minor"/>
      </rPr>
      <t xml:space="preserve"> - This table captures contributions (or components thereof) included in the relevant Partner Agreement at the time of signing.  An organisation involved in multiple projects will likely only capture part of their overall </t>
    </r>
    <r>
      <rPr>
        <u/>
        <sz val="11"/>
        <color theme="1"/>
        <rFont val="Calibri"/>
        <family val="2"/>
        <scheme val="minor"/>
      </rPr>
      <t>program</t>
    </r>
    <r>
      <rPr>
        <sz val="11"/>
        <color theme="1"/>
        <rFont val="Calibri"/>
        <family val="2"/>
        <scheme val="minor"/>
      </rPr>
      <t xml:space="preserve"> contribution in any one project budget.  These type of cash contributions can be leveraged up to a ratio of 1:1 with CRC SAAFE Grant funds.  The Table itself is easy to fill out and requires no instruction here.</t>
    </r>
  </si>
  <si>
    <r>
      <t xml:space="preserve">- Table 2 - </t>
    </r>
    <r>
      <rPr>
        <b/>
        <sz val="11"/>
        <color theme="1"/>
        <rFont val="Calibri"/>
        <family val="2"/>
        <scheme val="minor"/>
      </rPr>
      <t>Additional Partner Cash Contributions (additional to any existing participant commitments and not part of CRC leveraged funds)</t>
    </r>
    <r>
      <rPr>
        <sz val="11"/>
        <color theme="1"/>
        <rFont val="Calibri"/>
        <family val="2"/>
        <scheme val="minor"/>
      </rPr>
      <t xml:space="preserve"> - This table captures contributions </t>
    </r>
    <r>
      <rPr>
        <b/>
        <u/>
        <sz val="11"/>
        <color theme="1"/>
        <rFont val="Calibri"/>
        <family val="2"/>
        <scheme val="minor"/>
      </rPr>
      <t>not included</t>
    </r>
    <r>
      <rPr>
        <sz val="11"/>
        <color theme="1"/>
        <rFont val="Calibri"/>
        <family val="2"/>
        <scheme val="minor"/>
      </rPr>
      <t xml:space="preserve"> in the relevant Partner Agreement at the time of signing, and as such, not able to be leveraged with CRC SAAFE Grant funds.  The Table itself is easy to fill out and requires no instruction here.</t>
    </r>
  </si>
  <si>
    <t>The remaining tables on the 'Cash Contributions' Sheet are calculated and require no data entry:</t>
  </si>
  <si>
    <r>
      <t xml:space="preserve">- Table 3 - </t>
    </r>
    <r>
      <rPr>
        <b/>
        <sz val="11"/>
        <rFont val="Calibri"/>
        <family val="2"/>
        <scheme val="minor"/>
      </rPr>
      <t>Total Cash Contributions</t>
    </r>
    <r>
      <rPr>
        <sz val="11"/>
        <rFont val="Calibri"/>
        <family val="2"/>
        <scheme val="minor"/>
      </rPr>
      <t xml:space="preserve"> - This is an auto populated summary table that includes total cash contributions across project years from the tables above, and any CRC SAAFE cash contribution if calculated.  As mentioned above in discussion of the 'Cash Budget' sheet, the CRC SAAFE cash contribution </t>
    </r>
    <r>
      <rPr>
        <u/>
        <sz val="11"/>
        <rFont val="Calibri"/>
        <family val="2"/>
        <scheme val="minor"/>
      </rPr>
      <t>won't</t>
    </r>
    <r>
      <rPr>
        <sz val="11"/>
        <rFont val="Calibri"/>
        <family val="2"/>
        <scheme val="minor"/>
      </rPr>
      <t xml:space="preserve"> calculate until the minimum 50% leveraged partner cash contribution rule is satisfied.</t>
    </r>
  </si>
  <si>
    <r>
      <t xml:space="preserve">- Table 4 - </t>
    </r>
    <r>
      <rPr>
        <b/>
        <sz val="11"/>
        <rFont val="Calibri"/>
        <family val="2"/>
        <scheme val="minor"/>
      </rPr>
      <t>Project Cash:Project In-Kind Ratio (Should be at least 1:2))</t>
    </r>
    <r>
      <rPr>
        <sz val="11"/>
        <rFont val="Calibri"/>
        <family val="2"/>
        <scheme val="minor"/>
      </rPr>
      <t xml:space="preserve"> - This autopopulated table shows the yearly and project total ratio of partner cash contributions to partner in-kind contributions.  As discussed earlier, overall the project should deliver a cash:in-kind ratio of a least 1:2.  A check will highlight whether or not this is achieved across project years and in total.  This table is identical to that on the 'In-kind Contributions' sheet.</t>
    </r>
  </si>
  <si>
    <t>'In-Kind Contributions' Sheet</t>
  </si>
  <si>
    <t>The 'In-Kind Contributions' Sheet captures In-Kind contributions associated with the project in two recognisable table formats the same as those used on the 'Cash Budget' sheet.  To calculate In-Kind contributions refer to the guidelines that accompany the CRC SAAFE project application documents.  The tables on the 'In-Kind Contributions' sheet are:</t>
  </si>
  <si>
    <r>
      <t xml:space="preserve">- Table 1 - </t>
    </r>
    <r>
      <rPr>
        <b/>
        <sz val="11"/>
        <color theme="1"/>
        <rFont val="Calibri"/>
        <family val="2"/>
        <scheme val="minor"/>
      </rPr>
      <t>Staff In-Kind Contributions</t>
    </r>
    <r>
      <rPr>
        <sz val="11"/>
        <color theme="1"/>
        <rFont val="Calibri"/>
        <family val="2"/>
        <scheme val="minor"/>
      </rPr>
      <t xml:space="preserve"> - This table is to capture any Staff In-Kind contributions from any organisation involved in your project.  The table works in an identical fashion to the "Staff Salary and Workload Selection" table on the 'Cash Budget' sheet.</t>
    </r>
  </si>
  <si>
    <r>
      <t xml:space="preserve">- Table 2 - </t>
    </r>
    <r>
      <rPr>
        <b/>
        <sz val="11"/>
        <color theme="1"/>
        <rFont val="Calibri"/>
        <family val="2"/>
        <scheme val="minor"/>
      </rPr>
      <t>Non-Staff In-Kind Contributions (e.g., specialist laboratory use, equipment etc)</t>
    </r>
    <r>
      <rPr>
        <sz val="11"/>
        <color theme="1"/>
        <rFont val="Calibri"/>
        <family val="2"/>
        <scheme val="minor"/>
      </rPr>
      <t xml:space="preserve"> - This table captures  any non-staff in-kind contributions from any organisation involved in your project.  The table works in an identical fashion to the "Other Expenses" table on the 'Cash Budget' sheet.</t>
    </r>
  </si>
  <si>
    <r>
      <t xml:space="preserve"> - Table 3 - </t>
    </r>
    <r>
      <rPr>
        <b/>
        <sz val="11"/>
        <color theme="1"/>
        <rFont val="Calibri"/>
        <family val="2"/>
        <scheme val="minor"/>
      </rPr>
      <t xml:space="preserve">SAAFE Foundation Fellows/ Scholars </t>
    </r>
    <r>
      <rPr>
        <sz val="11"/>
        <color theme="1"/>
        <rFont val="Calibri"/>
        <family val="2"/>
        <scheme val="minor"/>
      </rPr>
      <t>- This table captures the involvement of SAAFE CRC's Foundation Fellows or SAAFE Scholars on the project. The funding for Foundation Fellows and Scholars is captured through a different contract and this table looks to formalise their involvement. Adding them in this table would help build a better record for ECRs and recognises their invovement in any Intellectual Property created through this project</t>
    </r>
  </si>
  <si>
    <t>The remaining tables on the 'In-Kind Contributions' Sheet are calculated and require no data entry:</t>
  </si>
  <si>
    <r>
      <t xml:space="preserve">- Table 4 - </t>
    </r>
    <r>
      <rPr>
        <b/>
        <sz val="11"/>
        <rFont val="Calibri"/>
        <family val="2"/>
        <scheme val="minor"/>
      </rPr>
      <t>Total Project In-kind Contributions</t>
    </r>
    <r>
      <rPr>
        <sz val="11"/>
        <rFont val="Calibri"/>
        <family val="2"/>
        <scheme val="minor"/>
      </rPr>
      <t xml:space="preserve"> - This is autopopulated summary table that includes total staff in-kind and total non-staff in-kind contributions across project years from the tables above.  </t>
    </r>
  </si>
  <si>
    <r>
      <t xml:space="preserve">- Table 5 - </t>
    </r>
    <r>
      <rPr>
        <b/>
        <sz val="11"/>
        <rFont val="Calibri"/>
        <family val="2"/>
        <scheme val="minor"/>
      </rPr>
      <t>Project Cash:Project In-Kind Ratio (Should be at least 1:2))</t>
    </r>
    <r>
      <rPr>
        <sz val="11"/>
        <rFont val="Calibri"/>
        <family val="2"/>
        <scheme val="minor"/>
      </rPr>
      <t xml:space="preserve"> - This autopopulated table shows the yearly and project total ratio of partner cash contributions to partner in-kind contributions.  As discussed earlier, overall the project should deliver a cash:in-kind ratio of a least 1:2.  A check will highlight whether or not this is achieved across project years and in total.  This table is identical to that on the 'Cash Contributions' sheet.</t>
    </r>
  </si>
  <si>
    <t>Project Title:</t>
  </si>
  <si>
    <t>Project Start Date:</t>
  </si>
  <si>
    <t>Project Duration (Months):</t>
  </si>
  <si>
    <t>Budget Summary</t>
  </si>
  <si>
    <t>Project Year 1</t>
  </si>
  <si>
    <t>Project Year 2</t>
  </si>
  <si>
    <t>Project Year 3</t>
  </si>
  <si>
    <t>Project Year 4</t>
  </si>
  <si>
    <t>Project Year 5</t>
  </si>
  <si>
    <t>Total Salary Costs</t>
  </si>
  <si>
    <t>Total Project Value (Cash Contributions + In-Kind Contributions)</t>
  </si>
  <si>
    <t>Total</t>
  </si>
  <si>
    <t>Shortfall</t>
  </si>
  <si>
    <t>CRC Funding Suitability Check: Partner Cash &gt; CRC Cash</t>
  </si>
  <si>
    <t>Project Cash:Project In-Kind Ratio (Should be at least 1:2)</t>
  </si>
  <si>
    <t>Cash Budget</t>
  </si>
  <si>
    <t>White cells - Manual Data Entry</t>
  </si>
  <si>
    <t>Cash Expenses</t>
  </si>
  <si>
    <t>Staff Salary &amp; Workload Selection</t>
  </si>
  <si>
    <t>INTERNAL CHECKS (To be hidden)</t>
  </si>
  <si>
    <t>Partner</t>
  </si>
  <si>
    <t>Person</t>
  </si>
  <si>
    <t>Project Role</t>
  </si>
  <si>
    <t>FTE on Project</t>
  </si>
  <si>
    <t>Proposed Salary (Including maximum 30% on-costs)</t>
  </si>
  <si>
    <t xml:space="preserve">FTE on Project </t>
  </si>
  <si>
    <t xml:space="preserve">Proposed Salary (Including maximum 30% on-costs) </t>
  </si>
  <si>
    <t xml:space="preserve">FTE on Project  </t>
  </si>
  <si>
    <t xml:space="preserve">Proposed Salary (Including maximum 30% on-costs)  </t>
  </si>
  <si>
    <t xml:space="preserve">FTE on Project   </t>
  </si>
  <si>
    <t xml:space="preserve">Proposed Salary (Including maximum 30% on-costs)   </t>
  </si>
  <si>
    <t xml:space="preserve">FTE on Project    </t>
  </si>
  <si>
    <t xml:space="preserve">Proposed Salary (Including maximum 30% on-costs)    </t>
  </si>
  <si>
    <t>Total FTE on Project</t>
  </si>
  <si>
    <t>Total Staff Salary</t>
  </si>
  <si>
    <t>Average FTE</t>
  </si>
  <si>
    <t>Average Salary</t>
  </si>
  <si>
    <t>Proposed annual salary</t>
  </si>
  <si>
    <t>Pattern1</t>
  </si>
  <si>
    <t>Pattern2</t>
  </si>
  <si>
    <t>Other Eligible Expenses (e.g. travel, equipment, subcontractors, consumables etc.  Anything above $5k must be listed separately)</t>
  </si>
  <si>
    <t>Description</t>
  </si>
  <si>
    <t>Total  [AU$]</t>
  </si>
  <si>
    <t>Travel</t>
  </si>
  <si>
    <t>Consumables</t>
  </si>
  <si>
    <t>Knowledge transfer and communication</t>
  </si>
  <si>
    <t>Publications</t>
  </si>
  <si>
    <t>Pattern3</t>
  </si>
  <si>
    <t>Total Cash Expenses</t>
  </si>
  <si>
    <t>Expense Type</t>
  </si>
  <si>
    <t>Total Staff Salary Costs</t>
  </si>
  <si>
    <t>Other Expenses (e.g., travel equipment, subcontractors etc)</t>
  </si>
  <si>
    <t>Cash Balance</t>
  </si>
  <si>
    <t>Total Contributions vs Expenditure</t>
  </si>
  <si>
    <t>Total Expenditure</t>
  </si>
  <si>
    <t>Total Contributions</t>
  </si>
  <si>
    <t>Cash Balance (Partner contributions in agreement should be at least 50% of project expenditure)</t>
  </si>
  <si>
    <t>Don't delete any of these rows</t>
  </si>
  <si>
    <t>Total Expenditure - Third Party contributions</t>
  </si>
  <si>
    <t>Annual Partner Contributions</t>
  </si>
  <si>
    <t>Annual Partner Contributions + Carryover</t>
  </si>
  <si>
    <t>Annual Partner remainder</t>
  </si>
  <si>
    <t>Max CRC Funding Component</t>
  </si>
  <si>
    <t>CRC Remainder (less partner contributions)</t>
  </si>
  <si>
    <t>CRC Funding Suitability Check</t>
  </si>
  <si>
    <t>Cash Contribution Tables</t>
  </si>
  <si>
    <t>Cash Contributions</t>
  </si>
  <si>
    <t>Partner Cash Contributions within budget (part of CRC leveraged funds)</t>
  </si>
  <si>
    <t>Industry Partner 1 Name</t>
  </si>
  <si>
    <t>Industry Partner 2 Name</t>
  </si>
  <si>
    <t>Insert Row A</t>
  </si>
  <si>
    <t>Additional Partner Cash Contributions (additional to any existing participant commitments and not part of CRC leveraged funds)</t>
  </si>
  <si>
    <t>Insert Row B</t>
  </si>
  <si>
    <t>N/A</t>
  </si>
  <si>
    <t>Total Cash Contributions</t>
  </si>
  <si>
    <t>Partner Cash Contributions</t>
  </si>
  <si>
    <t>Additional Partner Contributions</t>
  </si>
  <si>
    <t>CRC Contributions</t>
  </si>
  <si>
    <t>Cash to In-Kind Ratio</t>
  </si>
  <si>
    <t>In-Kind Contributions</t>
  </si>
  <si>
    <t>Staff In-Kind Contributions</t>
  </si>
  <si>
    <t>Salary with 2.5% pay rise (&amp; 30% loading)</t>
  </si>
  <si>
    <t xml:space="preserve">Salary with 2.5% pay rise (&amp; 30% loading) </t>
  </si>
  <si>
    <t xml:space="preserve">Salary with 2.5% pay rise (&amp; 30% loading)  </t>
  </si>
  <si>
    <t xml:space="preserve">Salary with 2.5% pay rise (&amp; 30% loading)   </t>
  </si>
  <si>
    <t xml:space="preserve">Salary with 2.5% pay rise (&amp; 30% loading)    </t>
  </si>
  <si>
    <t>Total FTE</t>
  </si>
  <si>
    <t>SAAFE Foundation Fellows / SAAFE Scholars</t>
  </si>
  <si>
    <t>University</t>
  </si>
  <si>
    <t>SAAFE Co-Funded Research Position Costs</t>
  </si>
  <si>
    <t>Non-Staff In-Kind Contributions (e.g., specialist laboratory use, equipment etc)</t>
  </si>
  <si>
    <t>Project  Year 4</t>
  </si>
  <si>
    <t>Project  Year 5</t>
  </si>
  <si>
    <t>Total Project In-Kind Contributions</t>
  </si>
  <si>
    <t>Contribution Type</t>
  </si>
  <si>
    <t>Total Staff In-Kind Contributions</t>
  </si>
  <si>
    <t>Total Non-Staff In-Kind Contributions</t>
  </si>
  <si>
    <t>Overall Project</t>
  </si>
  <si>
    <t>Cash Summary ($)</t>
  </si>
  <si>
    <t>Year 1 - F24</t>
  </si>
  <si>
    <t>Year 2 - F25</t>
  </si>
  <si>
    <t>Year 3 - F26</t>
  </si>
  <si>
    <t>Year 4 - F27</t>
  </si>
  <si>
    <t>Year 5 - F28</t>
  </si>
  <si>
    <t>A*</t>
  </si>
  <si>
    <t>B*</t>
  </si>
  <si>
    <t>C**</t>
  </si>
  <si>
    <t>D**</t>
  </si>
  <si>
    <t>CRC Contributions***</t>
  </si>
  <si>
    <t>* Partner Cash Contributions within budget (part of CRC leveraged funds)</t>
  </si>
  <si>
    <t>** Additional Partner Cash Contributions (additional to any participant commitments and not part of CRC leveraged funds)</t>
  </si>
  <si>
    <t>*** SAAFE CRC Contributions</t>
  </si>
  <si>
    <t>In-Kind Summary ($)</t>
  </si>
  <si>
    <t>UniSA*</t>
  </si>
  <si>
    <t>WEHI*</t>
  </si>
  <si>
    <t>UniSA**</t>
  </si>
  <si>
    <t>WEHI**</t>
  </si>
  <si>
    <t>* Staff In-Kind Contributions</t>
  </si>
  <si>
    <t>** Non-Staff In-Kind Contributions (e.g., specialist laboratory use, equipment etc)</t>
  </si>
  <si>
    <t>Pay Rise per Year from F22</t>
  </si>
  <si>
    <t>+30% On-Cost values for starting years</t>
  </si>
  <si>
    <t>Row Insert</t>
  </si>
  <si>
    <t>F23</t>
  </si>
  <si>
    <t>F24</t>
  </si>
  <si>
    <t>F25</t>
  </si>
  <si>
    <t>F26</t>
  </si>
  <si>
    <t>F22</t>
  </si>
  <si>
    <t>F27</t>
  </si>
  <si>
    <t>Proposed Salary Calcs</t>
  </si>
  <si>
    <t>Note year 1 on this sheet refers to F22 as that is the baseline salary info, whereas Year 1 on budget sheet refers to F23 (the first year budgeters can choose from)</t>
  </si>
  <si>
    <t>Proposed Stipend</t>
  </si>
  <si>
    <t>&lt;&lt;Click here to insert new row in table&gt;&gt;</t>
  </si>
  <si>
    <t>Academic Staff Salary Scale</t>
  </si>
  <si>
    <t>Academic Staff Annual Salary</t>
  </si>
  <si>
    <t>Research Staff Salary Scale</t>
  </si>
  <si>
    <t>Research Staff Annual Salary</t>
  </si>
  <si>
    <t>Professional Staff Salary Scale</t>
  </si>
  <si>
    <t>Professional Staff Annual Salary</t>
  </si>
  <si>
    <t>Staff Category</t>
  </si>
  <si>
    <t>Academic Staff</t>
  </si>
  <si>
    <t>Research Staff</t>
  </si>
  <si>
    <t>Professional Staff</t>
  </si>
  <si>
    <t>Other Staff</t>
  </si>
  <si>
    <t>Staff</t>
  </si>
  <si>
    <t>Min (-10%)</t>
  </si>
  <si>
    <t>75th percentile</t>
  </si>
  <si>
    <t>Max (+ 10%)</t>
  </si>
  <si>
    <t>Year 1 (No Pay Rise)</t>
  </si>
  <si>
    <t>With Pay Rise Year 2</t>
  </si>
  <si>
    <t>With Pay Rise Year 3</t>
  </si>
  <si>
    <t>With Pay Rise Year 4</t>
  </si>
  <si>
    <t>With Pay Rise Year 5</t>
  </si>
  <si>
    <t>With On-cost if starting Year 1</t>
  </si>
  <si>
    <t>With On-cost if starting Year 2</t>
  </si>
  <si>
    <t>With On-cost if starting Year 3</t>
  </si>
  <si>
    <t>With On-cost if starting Year 4</t>
  </si>
  <si>
    <t>With On-cost if starting Year 5</t>
  </si>
  <si>
    <t>Required Band Level</t>
  </si>
  <si>
    <t>Proposed Annual Salary (1 FTE)</t>
  </si>
  <si>
    <t>With Pay Rise Year 6</t>
  </si>
  <si>
    <t>With On-cost if starting Year 6</t>
  </si>
  <si>
    <t>Annual Stipend</t>
  </si>
  <si>
    <t>&lt;&lt;Insert new row above&gt;&gt;</t>
  </si>
  <si>
    <t>Academic Staff A1</t>
  </si>
  <si>
    <t>Research Assistant (ARA) 1</t>
  </si>
  <si>
    <t>HEO 1 - 1</t>
  </si>
  <si>
    <t>Academic Staff Lvl A</t>
  </si>
  <si>
    <t>Research Assistant (ARA)</t>
  </si>
  <si>
    <t>HEO 1</t>
  </si>
  <si>
    <t>Other 1</t>
  </si>
  <si>
    <t>Academic Staff A2</t>
  </si>
  <si>
    <t>Research Assistant (ARA) 2</t>
  </si>
  <si>
    <t>HEO 1 - 2</t>
  </si>
  <si>
    <t>Academic Staff Lvl B</t>
  </si>
  <si>
    <t>Research Associate (ARAS)</t>
  </si>
  <si>
    <t>HEO 2</t>
  </si>
  <si>
    <t>Other 2</t>
  </si>
  <si>
    <t>Academic Staff A3</t>
  </si>
  <si>
    <t>Research Assistant (ARA) 3</t>
  </si>
  <si>
    <t>HEO 1 - 3</t>
  </si>
  <si>
    <t>Academic Staff Lvl C</t>
  </si>
  <si>
    <t>Research Fellow (BRF)</t>
  </si>
  <si>
    <t>HEO 3</t>
  </si>
  <si>
    <t>Other 3</t>
  </si>
  <si>
    <t>Academic Staff A4</t>
  </si>
  <si>
    <t>Research Assistant (ARA) 4</t>
  </si>
  <si>
    <t>HEO 2 - 1</t>
  </si>
  <si>
    <t>Academic Staff Lvl D</t>
  </si>
  <si>
    <t>Senior Research Fellow (CSRF)</t>
  </si>
  <si>
    <t>HEO 4</t>
  </si>
  <si>
    <t>Other 4</t>
  </si>
  <si>
    <t>Academic Staff A5</t>
  </si>
  <si>
    <t>Research Assistant (ARA) 5</t>
  </si>
  <si>
    <t>HEO 2 - 2</t>
  </si>
  <si>
    <t>Academic Staff Lvl E</t>
  </si>
  <si>
    <t>Associate Research Professor (DARP)</t>
  </si>
  <si>
    <t>HEO 5</t>
  </si>
  <si>
    <t>Other 5</t>
  </si>
  <si>
    <t>Academic Staff A6</t>
  </si>
  <si>
    <t>Research Assistant (ARA) 6</t>
  </si>
  <si>
    <t>HEO 2 - 3</t>
  </si>
  <si>
    <t>Research Professor (ERP)</t>
  </si>
  <si>
    <t>HEO 6</t>
  </si>
  <si>
    <t>Other 6</t>
  </si>
  <si>
    <t>Academic Staff A7</t>
  </si>
  <si>
    <t>Research Assistant (ARA) 7</t>
  </si>
  <si>
    <t>HEO 2 - 4</t>
  </si>
  <si>
    <t>HEO 7</t>
  </si>
  <si>
    <t>Other 7</t>
  </si>
  <si>
    <t>Academic Staff A8</t>
  </si>
  <si>
    <t>Research Assistant (ARA) 8</t>
  </si>
  <si>
    <t>HEO 3 - 1</t>
  </si>
  <si>
    <t>HEO 8</t>
  </si>
  <si>
    <t>Other 8</t>
  </si>
  <si>
    <t>Academic Staff B1</t>
  </si>
  <si>
    <t>Research Associate (ARAS) 1</t>
  </si>
  <si>
    <t>HEO 3 - 2</t>
  </si>
  <si>
    <t>HEO 9</t>
  </si>
  <si>
    <t>Other 9</t>
  </si>
  <si>
    <t>Academic Staff B2</t>
  </si>
  <si>
    <t>Research Associate (ARAS) 2</t>
  </si>
  <si>
    <t>HEO 3 - 3</t>
  </si>
  <si>
    <t>HEO 10</t>
  </si>
  <si>
    <t>Other 10</t>
  </si>
  <si>
    <t>Academic Staff B3</t>
  </si>
  <si>
    <t>Research Associate (ARAS) 3</t>
  </si>
  <si>
    <t>HEO 3 - 4</t>
  </si>
  <si>
    <t>Other 11</t>
  </si>
  <si>
    <t>Academic Staff B4</t>
  </si>
  <si>
    <t>Research Fellow (BRF) 1</t>
  </si>
  <si>
    <t>HEO 3 - 5</t>
  </si>
  <si>
    <t>Other 12</t>
  </si>
  <si>
    <t>Academic Staff B5</t>
  </si>
  <si>
    <t>Research Fellow (BRF) 2</t>
  </si>
  <si>
    <t>HEO 3 - 6</t>
  </si>
  <si>
    <t>Other 13</t>
  </si>
  <si>
    <t>Academic Staff B6</t>
  </si>
  <si>
    <t>Research Fellow (BRF) 3</t>
  </si>
  <si>
    <t>HEO 4 - 1</t>
  </si>
  <si>
    <t>Other 14</t>
  </si>
  <si>
    <t>Academic Staff C1</t>
  </si>
  <si>
    <t>Research Fellow (BRF) 4</t>
  </si>
  <si>
    <t>HEO 4 - 2</t>
  </si>
  <si>
    <t>Other 15</t>
  </si>
  <si>
    <t>Academic Staff C2</t>
  </si>
  <si>
    <t>Research Fellow (BRF) 5</t>
  </si>
  <si>
    <t>HEO 4 - 3</t>
  </si>
  <si>
    <t>Academic Staff C3</t>
  </si>
  <si>
    <t>Research Fellow (BRF) 6</t>
  </si>
  <si>
    <t>HEO 4 - 4</t>
  </si>
  <si>
    <t>Academic Staff C4</t>
  </si>
  <si>
    <t>Senior Research Fellow (CSRF) 1</t>
  </si>
  <si>
    <t>HEO 4 - 5</t>
  </si>
  <si>
    <t>Academic Staff C5</t>
  </si>
  <si>
    <t>Senior Research Fellow (CSRF) 2</t>
  </si>
  <si>
    <t>HEO 4 - 6</t>
  </si>
  <si>
    <t>Academic Staff C6</t>
  </si>
  <si>
    <t>Senior Research Fellow (CSRF) 3</t>
  </si>
  <si>
    <t>HEO 5 - 1</t>
  </si>
  <si>
    <t>Academic Staff D1</t>
  </si>
  <si>
    <t>Senior Research Fellow (CSRF) 4</t>
  </si>
  <si>
    <t>HEO 5 - 2</t>
  </si>
  <si>
    <t>Academic Staff D2</t>
  </si>
  <si>
    <t>Senior Research Fellow (CSRF) 5</t>
  </si>
  <si>
    <t>HEO 5 - 3</t>
  </si>
  <si>
    <t>Academic Staff D3</t>
  </si>
  <si>
    <t>Senior Research Fellow (CSRF) 6</t>
  </si>
  <si>
    <t>HEO 5 - 4</t>
  </si>
  <si>
    <t>Academic Staff D4</t>
  </si>
  <si>
    <t>Associate Research Professor (DARP) 1</t>
  </si>
  <si>
    <t>HEO 5 - 5</t>
  </si>
  <si>
    <t>Academic Staff E</t>
  </si>
  <si>
    <t>Associate Research Professor (DARP) 2</t>
  </si>
  <si>
    <t>HEO 5 - 6</t>
  </si>
  <si>
    <t>Associate Research Professor (DARP) 3</t>
  </si>
  <si>
    <t>HEO 6 - 1</t>
  </si>
  <si>
    <t>Associate Research Professor (DARP) 4</t>
  </si>
  <si>
    <t>HEO 6 - 2</t>
  </si>
  <si>
    <t>HEO 6 - 3</t>
  </si>
  <si>
    <t>HEO 6 - 4</t>
  </si>
  <si>
    <t>HEO 6 - 5</t>
  </si>
  <si>
    <t>HEO 7 - 1</t>
  </si>
  <si>
    <t>HEO 7 - 2</t>
  </si>
  <si>
    <t>HEO 7 - 3</t>
  </si>
  <si>
    <t>HEO 7 - 4</t>
  </si>
  <si>
    <t>HEO 7 - 5</t>
  </si>
  <si>
    <t>HEO 8 - 1</t>
  </si>
  <si>
    <t>HEO 8 - 2</t>
  </si>
  <si>
    <t>HEO 8 - 3</t>
  </si>
  <si>
    <t>HEO 8 - 4</t>
  </si>
  <si>
    <t>HEO 9 - 1</t>
  </si>
  <si>
    <t>HEO 9 - 2</t>
  </si>
  <si>
    <t>HEO 9 - 3</t>
  </si>
  <si>
    <t>HEO 10 - 1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</si>
</sst>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quot;$&quot;#,##0"/>
    <numFmt numFmtId="165" formatCode="_-&quot;$&quot;* #,##0.00_-;\-&quot;$&quot;* #,##0.00_-;_-&quot;$&quot;* &quot;-&quot;??_-;_-@_-"/>
    <numFmt numFmtId="166" formatCode="_-&quot;$&quot;* #,##0_-;\-&quot;$&quot;* #,##0_-;_-&quot;$&quot;* &quot;-&quot;??_-;_-@_-"/>
    <numFmt numFmtId="167" formatCode="&quot;$&quot;#,##0"/>
    <numFmt numFmtId="168" formatCode="0.0"/>
    <numFmt numFmtId="169" formatCode="0.0%"/>
    <numFmt numFmtId="170" formatCode="&quot;Year &quot;#"/>
    <numFmt numFmtId="171" formatCode="&quot;$&quot;#,##0.00"/>
  </numFmts>
  <fonts count="46">
    <font>
      <sz val="11"/>
      <color theme="1"/>
      <name val="Calibri"/>
      <family val="2"/>
      <scheme val="minor"/>
    </font>
    <font>
      <sz val="11"/>
      <color theme="1"/>
      <name val="Calibri"/>
      <family val="2"/>
      <scheme val="minor"/>
    </font>
    <font>
      <sz val="8"/>
      <name val="Calibri"/>
      <family val="2"/>
      <scheme val="minor"/>
    </font>
    <font>
      <b/>
      <sz val="11"/>
      <color theme="1"/>
      <name val="Calibri"/>
      <family val="2"/>
      <scheme val="minor"/>
    </font>
    <font>
      <sz val="11"/>
      <color theme="1"/>
      <name val="Microsoft Sans Serif"/>
      <family val="2"/>
    </font>
    <font>
      <sz val="10"/>
      <color theme="1"/>
      <name val="Microsoft Sans Serif"/>
      <family val="2"/>
    </font>
    <font>
      <b/>
      <sz val="10"/>
      <color theme="1"/>
      <name val="Microsoft Sans Serif"/>
      <family val="2"/>
    </font>
    <font>
      <sz val="9"/>
      <color theme="1"/>
      <name val="Microsoft Sans Serif"/>
      <family val="2"/>
    </font>
    <font>
      <sz val="10"/>
      <color indexed="8"/>
      <name val="Microsoft Sans Serif"/>
      <family val="2"/>
    </font>
    <font>
      <b/>
      <sz val="10"/>
      <color indexed="8"/>
      <name val="Microsoft Sans Serif"/>
      <family val="2"/>
    </font>
    <font>
      <sz val="9"/>
      <color indexed="8"/>
      <name val="Microsoft Sans Serif"/>
      <family val="2"/>
    </font>
    <font>
      <b/>
      <sz val="11"/>
      <color theme="1"/>
      <name val="Microsoft Sans Serif"/>
      <family val="2"/>
    </font>
    <font>
      <sz val="9"/>
      <color rgb="FF000000"/>
      <name val="Microsoft Sans Serif"/>
      <family val="2"/>
    </font>
    <font>
      <sz val="11"/>
      <color rgb="FFFF0000"/>
      <name val="Calibri"/>
      <family val="2"/>
      <scheme val="minor"/>
    </font>
    <font>
      <sz val="11"/>
      <color theme="0"/>
      <name val="Microsoft Sans Serif"/>
      <family val="2"/>
    </font>
    <font>
      <sz val="9"/>
      <color rgb="FFFF0000"/>
      <name val="Microsoft Sans Serif"/>
      <family val="2"/>
    </font>
    <font>
      <b/>
      <sz val="10"/>
      <color rgb="FFFF0000"/>
      <name val="Microsoft Sans Serif"/>
      <family val="2"/>
    </font>
    <font>
      <sz val="9"/>
      <color theme="1"/>
      <name val="Calibri"/>
      <family val="2"/>
      <scheme val="minor"/>
    </font>
    <font>
      <b/>
      <sz val="9"/>
      <color theme="1"/>
      <name val="Microsoft Sans Serif"/>
      <family val="2"/>
    </font>
    <font>
      <b/>
      <sz val="9"/>
      <color indexed="8"/>
      <name val="Microsoft Sans Serif"/>
      <family val="2"/>
    </font>
    <font>
      <b/>
      <sz val="9"/>
      <color rgb="FFFF0000"/>
      <name val="Microsoft Sans Serif"/>
      <family val="2"/>
    </font>
    <font>
      <b/>
      <sz val="20"/>
      <color rgb="FF0070C0"/>
      <name val="Calibri"/>
      <family val="2"/>
      <scheme val="minor"/>
    </font>
    <font>
      <b/>
      <u/>
      <sz val="11"/>
      <color theme="1"/>
      <name val="Calibri"/>
      <family val="2"/>
      <scheme val="minor"/>
    </font>
    <font>
      <b/>
      <sz val="12"/>
      <color theme="1"/>
      <name val="Calibri"/>
      <family val="2"/>
      <scheme val="minor"/>
    </font>
    <font>
      <u/>
      <sz val="11"/>
      <color theme="10"/>
      <name val="Calibri"/>
      <family val="2"/>
      <scheme val="minor"/>
    </font>
    <font>
      <u/>
      <sz val="11"/>
      <color theme="1"/>
      <name val="Calibri"/>
      <family val="2"/>
      <scheme val="minor"/>
    </font>
    <font>
      <sz val="11"/>
      <name val="Calibri"/>
      <family val="2"/>
      <scheme val="minor"/>
    </font>
    <font>
      <sz val="11"/>
      <color theme="7" tint="-0.249977111117893"/>
      <name val="Calibri"/>
      <family val="2"/>
      <scheme val="minor"/>
    </font>
    <font>
      <sz val="11"/>
      <color theme="7" tint="-0.249977111117893"/>
      <name val="Calibri (Body)"/>
    </font>
    <font>
      <b/>
      <sz val="11"/>
      <name val="Calibri"/>
      <family val="2"/>
      <scheme val="minor"/>
    </font>
    <font>
      <u/>
      <sz val="11"/>
      <name val="Calibri"/>
      <family val="2"/>
      <scheme val="minor"/>
    </font>
    <font>
      <sz val="11"/>
      <color rgb="FF000000"/>
      <name val="Microsoft Sans Serif"/>
      <family val="2"/>
    </font>
    <font>
      <sz val="8"/>
      <color theme="1"/>
      <name val="Microsoft Sans Serif"/>
      <family val="2"/>
    </font>
    <font>
      <sz val="8"/>
      <color rgb="FFFF0000"/>
      <name val="Microsoft Sans Serif"/>
      <family val="2"/>
    </font>
    <font>
      <sz val="8"/>
      <color indexed="8"/>
      <name val="Microsoft Sans Serif"/>
      <family val="2"/>
    </font>
    <font>
      <sz val="9"/>
      <color indexed="81"/>
      <name val="Tahoma"/>
      <family val="2"/>
    </font>
    <font>
      <b/>
      <sz val="9"/>
      <color indexed="81"/>
      <name val="Tahoma"/>
      <family val="2"/>
    </font>
    <font>
      <b/>
      <sz val="10"/>
      <color rgb="FF000000"/>
      <name val="Calibri"/>
      <family val="2"/>
      <scheme val="minor"/>
    </font>
    <font>
      <sz val="10"/>
      <color rgb="FF000000"/>
      <name val="Calibri"/>
      <family val="2"/>
      <scheme val="minor"/>
    </font>
    <font>
      <sz val="11"/>
      <color theme="0"/>
      <name val="Calibri"/>
      <family val="2"/>
      <scheme val="minor"/>
    </font>
    <font>
      <sz val="10"/>
      <color theme="0"/>
      <name val="Microsoft Sans Serif"/>
      <family val="2"/>
    </font>
    <font>
      <sz val="9"/>
      <color theme="0"/>
      <name val="Microsoft Sans Serif"/>
      <family val="2"/>
    </font>
    <font>
      <sz val="11"/>
      <name val="Microsoft Sans Serif"/>
      <family val="2"/>
    </font>
    <font>
      <sz val="9"/>
      <name val="Microsoft Sans Serif"/>
      <family val="2"/>
    </font>
    <font>
      <b/>
      <sz val="9"/>
      <name val="Microsoft Sans Serif"/>
      <family val="2"/>
    </font>
    <font>
      <b/>
      <sz val="11"/>
      <name val="Microsoft Sans Serif"/>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DBF5"/>
        <bgColor indexed="64"/>
      </patternFill>
    </fill>
    <fill>
      <patternFill patternType="solid">
        <fgColor rgb="FFD6DCE4"/>
        <bgColor indexed="64"/>
      </patternFill>
    </fill>
    <fill>
      <patternFill patternType="solid">
        <fgColor rgb="FFFFFFFF"/>
        <bgColor indexed="64"/>
      </patternFill>
    </fill>
    <fill>
      <patternFill patternType="solid">
        <fgColor rgb="FFD9D9D9"/>
        <bgColor indexed="64"/>
      </patternFill>
    </fill>
    <fill>
      <patternFill patternType="solid">
        <fgColor rgb="FFA2DEDE"/>
        <bgColor indexed="64"/>
      </patternFill>
    </fill>
    <fill>
      <patternFill patternType="solid">
        <fgColor rgb="FF32908E"/>
        <bgColor indexed="64"/>
      </patternFill>
    </fill>
    <fill>
      <patternFill patternType="solid">
        <fgColor rgb="FFA2DEDE"/>
        <bgColor theme="6" tint="0.79998168889431442"/>
      </patternFill>
    </fill>
  </fills>
  <borders count="6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8"/>
      </left>
      <right style="thin">
        <color indexed="8"/>
      </right>
      <top style="thin">
        <color indexed="64"/>
      </top>
      <bottom style="double">
        <color indexed="64"/>
      </bottom>
      <diagonal/>
    </border>
    <border>
      <left style="thin">
        <color indexed="8"/>
      </left>
      <right style="thin">
        <color indexed="10"/>
      </right>
      <top style="thin">
        <color indexed="64"/>
      </top>
      <bottom style="double">
        <color indexed="64"/>
      </bottom>
      <diagonal/>
    </border>
    <border>
      <left style="thin">
        <color indexed="8"/>
      </left>
      <right style="thin">
        <color indexed="10"/>
      </right>
      <top/>
      <bottom/>
      <diagonal/>
    </border>
    <border>
      <left style="thin">
        <color theme="7" tint="0.39997558519241921"/>
      </left>
      <right style="thin">
        <color theme="7" tint="0.39997558519241921"/>
      </right>
      <top/>
      <bottom/>
      <diagonal/>
    </border>
    <border>
      <left style="thin">
        <color auto="1"/>
      </left>
      <right/>
      <top/>
      <bottom/>
      <diagonal/>
    </border>
    <border>
      <left/>
      <right/>
      <top/>
      <bottom style="thin">
        <color auto="1"/>
      </bottom>
      <diagonal/>
    </border>
    <border>
      <left/>
      <right/>
      <top style="thin">
        <color auto="1"/>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top/>
      <bottom style="thin">
        <color indexed="64"/>
      </bottom>
      <diagonal/>
    </border>
    <border>
      <left/>
      <right style="thin">
        <color indexed="64"/>
      </right>
      <top style="thin">
        <color auto="1"/>
      </top>
      <bottom/>
      <diagonal/>
    </border>
    <border>
      <left/>
      <right style="thin">
        <color indexed="64"/>
      </right>
      <top/>
      <bottom/>
      <diagonal/>
    </border>
    <border>
      <left style="thin">
        <color indexed="64"/>
      </left>
      <right/>
      <top style="thin">
        <color theme="4" tint="0.39997558519241921"/>
      </top>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auto="1"/>
      </left>
      <right/>
      <top style="thin">
        <color auto="1"/>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8"/>
      </top>
      <bottom style="thin">
        <color indexed="8"/>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style="thin">
        <color indexed="64"/>
      </right>
      <top style="thin">
        <color indexed="8"/>
      </top>
      <bottom style="double">
        <color indexed="64"/>
      </bottom>
      <diagonal/>
    </border>
    <border>
      <left style="thin">
        <color indexed="8"/>
      </left>
      <right style="thin">
        <color indexed="8"/>
      </right>
      <top style="thin">
        <color indexed="8"/>
      </top>
      <bottom/>
      <diagonal/>
    </border>
    <border>
      <left style="thin">
        <color indexed="8"/>
      </left>
      <right style="thin">
        <color indexed="10"/>
      </right>
      <top style="thin">
        <color indexed="8"/>
      </top>
      <bottom/>
      <diagonal/>
    </border>
    <border>
      <left style="thin">
        <color auto="1"/>
      </left>
      <right/>
      <top style="thin">
        <color auto="1"/>
      </top>
      <bottom style="thin">
        <color auto="1"/>
      </bottom>
      <diagonal/>
    </border>
    <border>
      <left style="thin">
        <color indexed="8"/>
      </left>
      <right/>
      <top style="thin">
        <color indexed="8"/>
      </top>
      <bottom/>
      <diagonal/>
    </border>
    <border>
      <left style="thin">
        <color indexed="8"/>
      </left>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auto="1"/>
      </left>
      <right/>
      <top/>
      <bottom style="thin">
        <color auto="1"/>
      </bottom>
      <diagonal/>
    </border>
    <border>
      <left style="thin">
        <color indexed="8"/>
      </left>
      <right/>
      <top/>
      <bottom style="thin">
        <color indexed="8"/>
      </bottom>
      <diagonal/>
    </border>
    <border>
      <left style="thin">
        <color indexed="8"/>
      </left>
      <right style="thin">
        <color theme="0"/>
      </right>
      <top/>
      <bottom style="thin">
        <color auto="1"/>
      </bottom>
      <diagonal/>
    </border>
    <border>
      <left style="thin">
        <color indexed="8"/>
      </left>
      <right style="thin">
        <color indexed="10"/>
      </right>
      <top/>
      <bottom style="thin">
        <color indexed="8"/>
      </bottom>
      <diagonal/>
    </border>
    <border>
      <left/>
      <right style="thin">
        <color indexed="64"/>
      </right>
      <top/>
      <bottom style="thin">
        <color indexed="64"/>
      </bottom>
      <diagonal/>
    </border>
    <border>
      <left style="thin">
        <color indexed="8"/>
      </left>
      <right/>
      <top/>
      <bottom style="thin">
        <color auto="1"/>
      </bottom>
      <diagonal/>
    </border>
    <border>
      <left/>
      <right style="thin">
        <color indexed="64"/>
      </right>
      <top/>
      <bottom style="thin">
        <color indexed="64"/>
      </bottom>
      <diagonal/>
    </border>
    <border>
      <left style="thin">
        <color indexed="8"/>
      </left>
      <right/>
      <top style="thin">
        <color indexed="8"/>
      </top>
      <bottom style="thin">
        <color auto="1"/>
      </bottom>
      <diagonal/>
    </border>
    <border>
      <left style="thin">
        <color rgb="FFBFBFBF"/>
      </left>
      <right/>
      <top style="thin">
        <color auto="1"/>
      </top>
      <bottom style="thin">
        <color auto="1"/>
      </bottom>
      <diagonal/>
    </border>
    <border>
      <left/>
      <right/>
      <top style="thin">
        <color indexed="8"/>
      </top>
      <bottom/>
      <diagonal/>
    </border>
    <border>
      <left/>
      <right style="thin">
        <color indexed="8"/>
      </right>
      <top style="thin">
        <color indexed="8"/>
      </top>
      <bottom/>
      <diagonal/>
    </border>
  </borders>
  <cellStyleXfs count="4">
    <xf numFmtId="0" fontId="0" fillId="0" borderId="0"/>
    <xf numFmtId="165" fontId="1" fillId="0" borderId="0" applyFont="0" applyFill="0" applyBorder="0" applyAlignment="0" applyProtection="0"/>
    <xf numFmtId="0" fontId="24" fillId="0" borderId="0" applyNumberFormat="0" applyFill="0" applyBorder="0" applyAlignment="0" applyProtection="0"/>
    <xf numFmtId="9" fontId="1" fillId="0" borderId="0" applyFont="0" applyFill="0" applyBorder="0" applyAlignment="0" applyProtection="0"/>
  </cellStyleXfs>
  <cellXfs count="365">
    <xf numFmtId="0" fontId="0" fillId="0" borderId="0" xfId="0"/>
    <xf numFmtId="166" fontId="0" fillId="0" borderId="0" xfId="1" applyNumberFormat="1" applyFont="1"/>
    <xf numFmtId="166" fontId="0" fillId="0" borderId="0" xfId="0" applyNumberFormat="1"/>
    <xf numFmtId="0" fontId="3" fillId="0" borderId="0" xfId="0" applyFont="1" applyAlignment="1">
      <alignment wrapText="1"/>
    </xf>
    <xf numFmtId="166" fontId="0" fillId="0" borderId="0" xfId="1" applyNumberFormat="1" applyFont="1" applyFill="1" applyBorder="1"/>
    <xf numFmtId="0" fontId="4" fillId="0" borderId="0" xfId="0" applyFont="1"/>
    <xf numFmtId="0" fontId="4" fillId="0" borderId="0" xfId="0" applyFont="1" applyAlignment="1">
      <alignment wrapText="1"/>
    </xf>
    <xf numFmtId="0" fontId="4" fillId="0" borderId="0" xfId="0" applyFont="1" applyAlignment="1">
      <alignment vertical="center"/>
    </xf>
    <xf numFmtId="0" fontId="5" fillId="0" borderId="0" xfId="0" applyFont="1"/>
    <xf numFmtId="165" fontId="0" fillId="0" borderId="0" xfId="0" applyNumberFormat="1"/>
    <xf numFmtId="10" fontId="0" fillId="0" borderId="0" xfId="0" applyNumberFormat="1"/>
    <xf numFmtId="0" fontId="0" fillId="0" borderId="0" xfId="0" applyAlignment="1">
      <alignment wrapText="1"/>
    </xf>
    <xf numFmtId="0" fontId="0" fillId="0" borderId="0" xfId="0" quotePrefix="1" applyAlignment="1">
      <alignment wrapText="1"/>
    </xf>
    <xf numFmtId="167" fontId="0" fillId="0" borderId="0" xfId="0" applyNumberFormat="1"/>
    <xf numFmtId="0" fontId="7" fillId="0" borderId="0" xfId="0" applyFont="1" applyAlignment="1">
      <alignment horizontal="center" wrapText="1"/>
    </xf>
    <xf numFmtId="0" fontId="7" fillId="0" borderId="1" xfId="0" applyFont="1" applyBorder="1" applyAlignment="1">
      <alignment horizontal="center" wrapText="1"/>
    </xf>
    <xf numFmtId="1" fontId="8" fillId="0" borderId="0" xfId="0" applyNumberFormat="1" applyFont="1" applyAlignment="1">
      <alignment vertical="center"/>
    </xf>
    <xf numFmtId="0" fontId="10" fillId="0" borderId="0" xfId="0" applyFont="1" applyAlignment="1">
      <alignment horizontal="center"/>
    </xf>
    <xf numFmtId="171" fontId="4" fillId="0" borderId="0" xfId="0" applyNumberFormat="1" applyFont="1"/>
    <xf numFmtId="167" fontId="10" fillId="0" borderId="0" xfId="0" applyNumberFormat="1" applyFont="1" applyAlignment="1">
      <alignment vertical="center"/>
    </xf>
    <xf numFmtId="0" fontId="5" fillId="2" borderId="0" xfId="0" applyFont="1" applyFill="1" applyAlignment="1">
      <alignment wrapText="1"/>
    </xf>
    <xf numFmtId="0" fontId="5" fillId="0" borderId="0" xfId="0" applyFont="1" applyAlignment="1">
      <alignment wrapText="1"/>
    </xf>
    <xf numFmtId="0" fontId="10" fillId="2" borderId="0" xfId="0" applyFont="1" applyFill="1" applyAlignment="1">
      <alignment horizontal="center"/>
    </xf>
    <xf numFmtId="167" fontId="10" fillId="5" borderId="3" xfId="0" applyNumberFormat="1" applyFont="1" applyFill="1" applyBorder="1" applyAlignment="1">
      <alignment horizontal="right" vertical="center"/>
    </xf>
    <xf numFmtId="0" fontId="10" fillId="5" borderId="2" xfId="0" applyFont="1" applyFill="1" applyBorder="1" applyAlignment="1">
      <alignment vertical="center"/>
    </xf>
    <xf numFmtId="167" fontId="10" fillId="5" borderId="2" xfId="0" applyNumberFormat="1" applyFont="1" applyFill="1" applyBorder="1" applyAlignment="1">
      <alignment horizontal="right" vertical="center"/>
    </xf>
    <xf numFmtId="167" fontId="10" fillId="5" borderId="4" xfId="0" applyNumberFormat="1" applyFont="1" applyFill="1" applyBorder="1" applyAlignment="1">
      <alignment horizontal="right" vertical="center"/>
    </xf>
    <xf numFmtId="0" fontId="6" fillId="2" borderId="0" xfId="0" applyFont="1" applyFill="1" applyAlignment="1">
      <alignment horizontal="center" vertical="center" wrapText="1"/>
    </xf>
    <xf numFmtId="0" fontId="3" fillId="0" borderId="7" xfId="0" applyFont="1" applyBorder="1" applyAlignment="1">
      <alignment wrapText="1"/>
    </xf>
    <xf numFmtId="166" fontId="0" fillId="0" borderId="0" xfId="1" applyNumberFormat="1" applyFont="1" applyFill="1"/>
    <xf numFmtId="0" fontId="14" fillId="0" borderId="0" xfId="0" applyFont="1"/>
    <xf numFmtId="0" fontId="10" fillId="2" borderId="0" xfId="0" applyFont="1" applyFill="1" applyAlignment="1">
      <alignment vertical="center" wrapText="1"/>
    </xf>
    <xf numFmtId="167" fontId="15" fillId="2" borderId="0" xfId="0" applyNumberFormat="1" applyFont="1" applyFill="1" applyAlignment="1">
      <alignment horizontal="center" vertical="center" wrapText="1"/>
    </xf>
    <xf numFmtId="167" fontId="16" fillId="2" borderId="0" xfId="0" applyNumberFormat="1" applyFont="1" applyFill="1" applyAlignment="1">
      <alignment horizontal="right" vertical="center"/>
    </xf>
    <xf numFmtId="0" fontId="10" fillId="6" borderId="3" xfId="0" applyFont="1" applyFill="1" applyBorder="1" applyAlignment="1">
      <alignment vertical="center"/>
    </xf>
    <xf numFmtId="167" fontId="10" fillId="6" borderId="6" xfId="0" applyNumberFormat="1" applyFont="1" applyFill="1" applyBorder="1" applyAlignment="1">
      <alignment horizontal="right" vertical="center"/>
    </xf>
    <xf numFmtId="1" fontId="10" fillId="6" borderId="4" xfId="0" applyNumberFormat="1" applyFont="1" applyFill="1" applyBorder="1" applyAlignment="1">
      <alignment vertical="center"/>
    </xf>
    <xf numFmtId="167" fontId="10" fillId="6" borderId="5" xfId="0" applyNumberFormat="1" applyFont="1" applyFill="1" applyBorder="1" applyAlignment="1">
      <alignment vertical="center"/>
    </xf>
    <xf numFmtId="167" fontId="10" fillId="6" borderId="4" xfId="0" applyNumberFormat="1" applyFont="1" applyFill="1" applyBorder="1" applyAlignment="1">
      <alignment vertical="center"/>
    </xf>
    <xf numFmtId="0" fontId="10" fillId="2" borderId="0" xfId="0" applyFont="1" applyFill="1" applyAlignment="1">
      <alignment vertical="center"/>
    </xf>
    <xf numFmtId="167" fontId="10" fillId="2" borderId="0" xfId="0" applyNumberFormat="1" applyFont="1" applyFill="1" applyAlignment="1">
      <alignment horizontal="right" vertical="center"/>
    </xf>
    <xf numFmtId="167" fontId="10" fillId="2" borderId="0" xfId="0" applyNumberFormat="1" applyFont="1" applyFill="1" applyAlignment="1">
      <alignment vertical="center"/>
    </xf>
    <xf numFmtId="0" fontId="17" fillId="0" borderId="0" xfId="0" applyFont="1" applyAlignment="1">
      <alignment wrapText="1"/>
    </xf>
    <xf numFmtId="0" fontId="17" fillId="0" borderId="0" xfId="0" applyFont="1" applyAlignment="1">
      <alignment horizontal="center" vertical="center" wrapText="1"/>
    </xf>
    <xf numFmtId="0" fontId="17" fillId="2" borderId="0" xfId="0" applyFont="1" applyFill="1" applyAlignment="1">
      <alignment wrapText="1"/>
    </xf>
    <xf numFmtId="0" fontId="10" fillId="4" borderId="11" xfId="0" applyFont="1" applyFill="1" applyBorder="1" applyAlignment="1">
      <alignment vertical="center"/>
    </xf>
    <xf numFmtId="167" fontId="10" fillId="4" borderId="12" xfId="0" applyNumberFormat="1" applyFont="1" applyFill="1" applyBorder="1" applyAlignment="1">
      <alignment vertical="center"/>
    </xf>
    <xf numFmtId="167" fontId="20" fillId="2" borderId="0" xfId="0" applyNumberFormat="1" applyFont="1" applyFill="1" applyAlignment="1">
      <alignment horizontal="right" vertical="center"/>
    </xf>
    <xf numFmtId="167" fontId="10" fillId="2" borderId="0" xfId="0" applyNumberFormat="1" applyFont="1" applyFill="1" applyAlignment="1">
      <alignment horizontal="center" vertical="center"/>
    </xf>
    <xf numFmtId="0" fontId="10" fillId="2" borderId="0" xfId="0" applyFont="1" applyFill="1" applyAlignment="1">
      <alignment horizontal="left"/>
    </xf>
    <xf numFmtId="0" fontId="7" fillId="0" borderId="0" xfId="0" applyFont="1"/>
    <xf numFmtId="0" fontId="7" fillId="0" borderId="0" xfId="0" applyFont="1" applyAlignment="1">
      <alignment wrapText="1"/>
    </xf>
    <xf numFmtId="0" fontId="21" fillId="0" borderId="0" xfId="0" applyFont="1" applyAlignment="1">
      <alignment vertical="center"/>
    </xf>
    <xf numFmtId="0" fontId="23" fillId="0" borderId="0" xfId="0" applyFont="1"/>
    <xf numFmtId="0" fontId="0" fillId="0" borderId="0" xfId="0" applyAlignment="1">
      <alignment horizontal="left" vertical="top" wrapText="1"/>
    </xf>
    <xf numFmtId="0" fontId="0" fillId="0" borderId="0" xfId="0" quotePrefix="1"/>
    <xf numFmtId="0" fontId="0" fillId="0" borderId="0" xfId="0" applyAlignment="1">
      <alignment vertical="center"/>
    </xf>
    <xf numFmtId="0" fontId="0" fillId="0" borderId="0" xfId="0" quotePrefix="1" applyAlignment="1">
      <alignment horizontal="left" vertical="top" wrapText="1"/>
    </xf>
    <xf numFmtId="0" fontId="0" fillId="0" borderId="0" xfId="0" applyAlignment="1">
      <alignment horizontal="left" vertical="top"/>
    </xf>
    <xf numFmtId="0" fontId="0" fillId="0" borderId="13" xfId="0" applyBorder="1"/>
    <xf numFmtId="0" fontId="0" fillId="0" borderId="14" xfId="0" applyBorder="1"/>
    <xf numFmtId="0" fontId="0" fillId="0" borderId="15" xfId="0" applyBorder="1"/>
    <xf numFmtId="0" fontId="0" fillId="0" borderId="16" xfId="0" applyBorder="1"/>
    <xf numFmtId="0" fontId="23" fillId="0" borderId="0" xfId="0" quotePrefix="1" applyFont="1"/>
    <xf numFmtId="0" fontId="0" fillId="0" borderId="17" xfId="0" applyBorder="1"/>
    <xf numFmtId="0" fontId="0" fillId="0" borderId="18" xfId="0" applyBorder="1"/>
    <xf numFmtId="0" fontId="0" fillId="0" borderId="19" xfId="0" applyBorder="1"/>
    <xf numFmtId="0" fontId="0" fillId="0" borderId="20" xfId="0" applyBorder="1"/>
    <xf numFmtId="0" fontId="25" fillId="0" borderId="0" xfId="0" applyFont="1"/>
    <xf numFmtId="0" fontId="13" fillId="0" borderId="0" xfId="0" applyFont="1" applyAlignment="1">
      <alignment horizontal="left" vertical="top"/>
    </xf>
    <xf numFmtId="0" fontId="27" fillId="0" borderId="0" xfId="0" applyFont="1" applyAlignment="1">
      <alignment horizontal="left" vertical="top"/>
    </xf>
    <xf numFmtId="0" fontId="28" fillId="0" borderId="0" xfId="0" applyFont="1" applyAlignment="1">
      <alignment horizontal="left" vertical="top"/>
    </xf>
    <xf numFmtId="0" fontId="0" fillId="0" borderId="0" xfId="0" quotePrefix="1" applyAlignment="1">
      <alignment horizontal="left" vertical="top"/>
    </xf>
    <xf numFmtId="0" fontId="26" fillId="0" borderId="0" xfId="0" quotePrefix="1" applyFont="1" applyAlignment="1">
      <alignment horizontal="left" vertical="top"/>
    </xf>
    <xf numFmtId="0" fontId="33" fillId="0" borderId="0" xfId="0" applyFont="1" applyAlignment="1">
      <alignment horizontal="left" vertical="top" wrapText="1"/>
    </xf>
    <xf numFmtId="0" fontId="37" fillId="8" borderId="22" xfId="0" applyFont="1" applyFill="1" applyBorder="1"/>
    <xf numFmtId="0" fontId="38" fillId="9" borderId="22" xfId="0" applyFont="1" applyFill="1" applyBorder="1"/>
    <xf numFmtId="167" fontId="38" fillId="9" borderId="22" xfId="0" applyNumberFormat="1" applyFont="1" applyFill="1" applyBorder="1"/>
    <xf numFmtId="167" fontId="0" fillId="0" borderId="23" xfId="0" applyNumberFormat="1" applyBorder="1"/>
    <xf numFmtId="167" fontId="0" fillId="0" borderId="24" xfId="0" applyNumberFormat="1" applyBorder="1"/>
    <xf numFmtId="0" fontId="38" fillId="9" borderId="25" xfId="0" applyFont="1" applyFill="1" applyBorder="1"/>
    <xf numFmtId="0" fontId="37" fillId="10" borderId="22" xfId="0" applyFont="1" applyFill="1" applyBorder="1"/>
    <xf numFmtId="0" fontId="40" fillId="0" borderId="0" xfId="0" applyFont="1" applyAlignment="1">
      <alignment wrapText="1"/>
    </xf>
    <xf numFmtId="0" fontId="14" fillId="0" borderId="0" xfId="0" applyFont="1" applyAlignment="1">
      <alignment wrapText="1"/>
    </xf>
    <xf numFmtId="0" fontId="41" fillId="0" borderId="0" xfId="0" applyFont="1" applyAlignment="1">
      <alignment wrapText="1"/>
    </xf>
    <xf numFmtId="0" fontId="14" fillId="0" borderId="0" xfId="0" applyFont="1" applyAlignment="1">
      <alignment vertical="center" wrapText="1"/>
    </xf>
    <xf numFmtId="0" fontId="39" fillId="0" borderId="0" xfId="0" applyFont="1" applyAlignment="1">
      <alignment wrapText="1"/>
    </xf>
    <xf numFmtId="0" fontId="42" fillId="0" borderId="0" xfId="0" applyFont="1"/>
    <xf numFmtId="0" fontId="37" fillId="7" borderId="22" xfId="0" applyFont="1" applyFill="1" applyBorder="1"/>
    <xf numFmtId="167" fontId="37" fillId="10" borderId="22" xfId="0" applyNumberFormat="1" applyFont="1" applyFill="1" applyBorder="1"/>
    <xf numFmtId="0" fontId="10" fillId="2" borderId="10" xfId="0" applyFont="1" applyFill="1" applyBorder="1" applyAlignment="1">
      <alignment horizontal="center"/>
    </xf>
    <xf numFmtId="167" fontId="4" fillId="0" borderId="0" xfId="0" applyNumberFormat="1" applyFont="1"/>
    <xf numFmtId="9" fontId="4" fillId="0" borderId="0" xfId="3" applyFont="1"/>
    <xf numFmtId="0" fontId="10" fillId="0" borderId="0" xfId="0" applyFont="1" applyAlignment="1">
      <alignment vertical="center"/>
    </xf>
    <xf numFmtId="0" fontId="6" fillId="0" borderId="0" xfId="0" applyFont="1"/>
    <xf numFmtId="0" fontId="4" fillId="11" borderId="1" xfId="0" applyFont="1" applyFill="1" applyBorder="1"/>
    <xf numFmtId="0" fontId="7" fillId="11" borderId="1" xfId="0" applyFont="1" applyFill="1" applyBorder="1" applyAlignment="1">
      <alignment horizontal="center" wrapText="1"/>
    </xf>
    <xf numFmtId="0" fontId="10" fillId="11" borderId="3" xfId="0" applyFont="1" applyFill="1" applyBorder="1" applyAlignment="1">
      <alignment horizontal="center"/>
    </xf>
    <xf numFmtId="2" fontId="7" fillId="0" borderId="0" xfId="0" applyNumberFormat="1" applyFont="1"/>
    <xf numFmtId="0" fontId="6" fillId="0" borderId="0" xfId="0" applyFont="1" applyAlignment="1">
      <alignment horizontal="left" vertical="center"/>
    </xf>
    <xf numFmtId="0" fontId="6" fillId="0" borderId="0" xfId="0" applyFont="1" applyAlignment="1">
      <alignment horizontal="center" vertical="center" wrapText="1"/>
    </xf>
    <xf numFmtId="0" fontId="4" fillId="11" borderId="8" xfId="0" applyFont="1" applyFill="1" applyBorder="1"/>
    <xf numFmtId="0" fontId="4" fillId="12" borderId="0" xfId="0" applyFont="1" applyFill="1"/>
    <xf numFmtId="0" fontId="6" fillId="12" borderId="2" xfId="0" applyFont="1" applyFill="1" applyBorder="1" applyAlignment="1">
      <alignment horizontal="center" vertical="top" wrapText="1"/>
    </xf>
    <xf numFmtId="170" fontId="7" fillId="11" borderId="2" xfId="0" applyNumberFormat="1" applyFont="1" applyFill="1" applyBorder="1" applyAlignment="1">
      <alignment horizontal="center" vertical="center"/>
    </xf>
    <xf numFmtId="0" fontId="9" fillId="12" borderId="10" xfId="0" applyFont="1" applyFill="1" applyBorder="1" applyAlignment="1">
      <alignment vertical="center"/>
    </xf>
    <xf numFmtId="170" fontId="4" fillId="0" borderId="0" xfId="0" applyNumberFormat="1" applyFont="1" applyAlignment="1">
      <alignment vertical="center"/>
    </xf>
    <xf numFmtId="0" fontId="7" fillId="0" borderId="0" xfId="0" applyFont="1" applyAlignment="1" applyProtection="1">
      <alignment horizontal="center" vertical="center" wrapText="1"/>
      <protection locked="0"/>
    </xf>
    <xf numFmtId="164" fontId="7" fillId="0" borderId="0" xfId="0" applyNumberFormat="1" applyFont="1" applyAlignment="1">
      <alignment horizontal="center" vertical="center" wrapText="1"/>
    </xf>
    <xf numFmtId="168" fontId="12" fillId="0" borderId="0" xfId="0" applyNumberFormat="1" applyFont="1" applyAlignment="1">
      <alignment vertical="center" wrapText="1"/>
    </xf>
    <xf numFmtId="164" fontId="12" fillId="0" borderId="0" xfId="0" applyNumberFormat="1" applyFont="1" applyAlignment="1">
      <alignment vertical="center" wrapText="1"/>
    </xf>
    <xf numFmtId="0" fontId="7" fillId="0" borderId="0" xfId="0" applyFont="1" applyAlignment="1">
      <alignment horizontal="center" vertical="center" wrapText="1"/>
    </xf>
    <xf numFmtId="168" fontId="7" fillId="0" borderId="0" xfId="0" applyNumberFormat="1" applyFont="1" applyAlignment="1">
      <alignment horizontal="right" vertical="center" wrapText="1"/>
    </xf>
    <xf numFmtId="164" fontId="7" fillId="0" borderId="0" xfId="0" applyNumberFormat="1" applyFont="1" applyAlignment="1">
      <alignment horizontal="right" vertical="center" wrapText="1"/>
    </xf>
    <xf numFmtId="0" fontId="44" fillId="11" borderId="21" xfId="0" applyFont="1" applyFill="1" applyBorder="1" applyAlignment="1">
      <alignment horizontal="center"/>
    </xf>
    <xf numFmtId="170" fontId="44" fillId="11" borderId="8" xfId="0" applyNumberFormat="1" applyFont="1" applyFill="1" applyBorder="1" applyAlignment="1">
      <alignment horizontal="center" vertical="center"/>
    </xf>
    <xf numFmtId="0" fontId="45" fillId="11" borderId="29" xfId="0" applyFont="1" applyFill="1" applyBorder="1" applyAlignment="1">
      <alignment horizontal="center" vertical="center" wrapText="1"/>
    </xf>
    <xf numFmtId="0" fontId="44" fillId="11" borderId="10" xfId="0" applyFont="1" applyFill="1" applyBorder="1" applyAlignment="1">
      <alignment horizontal="center" wrapText="1"/>
    </xf>
    <xf numFmtId="0" fontId="7" fillId="2" borderId="10" xfId="0" applyFont="1" applyFill="1" applyBorder="1" applyAlignment="1">
      <alignment horizontal="center" vertical="center" wrapText="1"/>
    </xf>
    <xf numFmtId="0" fontId="7" fillId="2" borderId="30" xfId="0" applyFont="1" applyFill="1" applyBorder="1" applyAlignment="1" applyProtection="1">
      <alignment horizontal="center" vertical="center" wrapText="1"/>
      <protection locked="0"/>
    </xf>
    <xf numFmtId="0" fontId="43" fillId="11" borderId="2" xfId="0" applyFont="1" applyFill="1" applyBorder="1" applyAlignment="1">
      <alignment horizontal="center" wrapText="1"/>
    </xf>
    <xf numFmtId="0" fontId="0" fillId="0" borderId="0" xfId="0" quotePrefix="1" applyAlignment="1">
      <alignment horizontal="left" vertical="center" wrapText="1"/>
    </xf>
    <xf numFmtId="0" fontId="7" fillId="12" borderId="34" xfId="0" applyFont="1" applyFill="1" applyBorder="1" applyAlignment="1">
      <alignment horizontal="left" vertical="center"/>
    </xf>
    <xf numFmtId="0" fontId="17" fillId="12" borderId="27" xfId="0" applyFont="1" applyFill="1" applyBorder="1" applyAlignment="1">
      <alignment wrapText="1"/>
    </xf>
    <xf numFmtId="0" fontId="10" fillId="11" borderId="30" xfId="0" applyFont="1" applyFill="1" applyBorder="1" applyAlignment="1">
      <alignment horizontal="center"/>
    </xf>
    <xf numFmtId="0" fontId="10" fillId="11" borderId="36" xfId="0" applyFont="1" applyFill="1" applyBorder="1" applyAlignment="1">
      <alignment vertical="center"/>
    </xf>
    <xf numFmtId="1" fontId="10" fillId="11" borderId="37" xfId="0" applyNumberFormat="1" applyFont="1" applyFill="1" applyBorder="1" applyAlignment="1">
      <alignment vertical="center"/>
    </xf>
    <xf numFmtId="1" fontId="10" fillId="11" borderId="38" xfId="0" applyNumberFormat="1" applyFont="1" applyFill="1" applyBorder="1" applyAlignment="1">
      <alignment vertical="center"/>
    </xf>
    <xf numFmtId="1" fontId="10" fillId="6" borderId="39" xfId="0" applyNumberFormat="1" applyFont="1" applyFill="1" applyBorder="1" applyAlignment="1">
      <alignment vertical="center"/>
    </xf>
    <xf numFmtId="167" fontId="10" fillId="6" borderId="40" xfId="0" applyNumberFormat="1" applyFont="1" applyFill="1" applyBorder="1" applyAlignment="1">
      <alignment vertical="center"/>
    </xf>
    <xf numFmtId="167" fontId="10" fillId="6" borderId="39" xfId="0" applyNumberFormat="1" applyFont="1" applyFill="1" applyBorder="1" applyAlignment="1">
      <alignment vertical="center"/>
    </xf>
    <xf numFmtId="167" fontId="10" fillId="5" borderId="39" xfId="0" applyNumberFormat="1" applyFont="1" applyFill="1" applyBorder="1" applyAlignment="1">
      <alignment horizontal="right" vertical="center"/>
    </xf>
    <xf numFmtId="0" fontId="10" fillId="11" borderId="31" xfId="0" applyFont="1" applyFill="1" applyBorder="1" applyAlignment="1">
      <alignment vertical="center"/>
    </xf>
    <xf numFmtId="0" fontId="19" fillId="11" borderId="41" xfId="0" applyFont="1" applyFill="1" applyBorder="1" applyAlignment="1">
      <alignment vertical="center"/>
    </xf>
    <xf numFmtId="0" fontId="19" fillId="11" borderId="42" xfId="0" applyFont="1" applyFill="1" applyBorder="1" applyAlignment="1">
      <alignment vertical="center"/>
    </xf>
    <xf numFmtId="0" fontId="10" fillId="6" borderId="39" xfId="0" applyFont="1" applyFill="1" applyBorder="1" applyAlignment="1">
      <alignment vertical="center"/>
    </xf>
    <xf numFmtId="167" fontId="10" fillId="6" borderId="40" xfId="0" applyNumberFormat="1" applyFont="1" applyFill="1" applyBorder="1" applyAlignment="1">
      <alignment horizontal="right" vertical="center"/>
    </xf>
    <xf numFmtId="0" fontId="10" fillId="6" borderId="43" xfId="0" applyFont="1" applyFill="1" applyBorder="1" applyAlignment="1">
      <alignment vertical="center"/>
    </xf>
    <xf numFmtId="167" fontId="10" fillId="6" borderId="43" xfId="0" applyNumberFormat="1" applyFont="1" applyFill="1" applyBorder="1" applyAlignment="1">
      <alignment horizontal="right" vertical="center"/>
    </xf>
    <xf numFmtId="1" fontId="10" fillId="6" borderId="44" xfId="0" applyNumberFormat="1" applyFont="1" applyFill="1" applyBorder="1" applyAlignment="1">
      <alignment vertical="center"/>
    </xf>
    <xf numFmtId="167" fontId="10" fillId="6" borderId="45" xfId="0" applyNumberFormat="1" applyFont="1" applyFill="1" applyBorder="1" applyAlignment="1">
      <alignment vertical="center"/>
    </xf>
    <xf numFmtId="167" fontId="10" fillId="6" borderId="44" xfId="0" applyNumberFormat="1" applyFont="1" applyFill="1" applyBorder="1" applyAlignment="1">
      <alignment vertical="center"/>
    </xf>
    <xf numFmtId="167" fontId="10" fillId="5" borderId="44" xfId="0" applyNumberFormat="1" applyFont="1" applyFill="1" applyBorder="1" applyAlignment="1">
      <alignment horizontal="right" vertical="center"/>
    </xf>
    <xf numFmtId="0" fontId="10" fillId="5" borderId="39" xfId="0" applyFont="1" applyFill="1" applyBorder="1" applyAlignment="1">
      <alignment vertical="center"/>
    </xf>
    <xf numFmtId="167" fontId="10" fillId="5" borderId="40" xfId="0" applyNumberFormat="1" applyFont="1" applyFill="1" applyBorder="1" applyAlignment="1">
      <alignment vertical="center"/>
    </xf>
    <xf numFmtId="167" fontId="10" fillId="4" borderId="27" xfId="0" applyNumberFormat="1" applyFont="1" applyFill="1" applyBorder="1" applyAlignment="1">
      <alignment horizontal="right" vertical="center"/>
    </xf>
    <xf numFmtId="0" fontId="10" fillId="3" borderId="46" xfId="0" applyFont="1" applyFill="1" applyBorder="1" applyAlignment="1">
      <alignment vertical="center"/>
    </xf>
    <xf numFmtId="0" fontId="19" fillId="3" borderId="41" xfId="0" applyFont="1" applyFill="1" applyBorder="1" applyAlignment="1">
      <alignment vertical="center"/>
    </xf>
    <xf numFmtId="0" fontId="19" fillId="3" borderId="42" xfId="0" applyFont="1" applyFill="1" applyBorder="1" applyAlignment="1">
      <alignment vertical="center"/>
    </xf>
    <xf numFmtId="0" fontId="10" fillId="5" borderId="44" xfId="0" applyFont="1" applyFill="1" applyBorder="1" applyAlignment="1">
      <alignment vertical="center"/>
    </xf>
    <xf numFmtId="167" fontId="10" fillId="5" borderId="45" xfId="0" applyNumberFormat="1" applyFont="1" applyFill="1" applyBorder="1" applyAlignment="1">
      <alignment vertical="center"/>
    </xf>
    <xf numFmtId="0" fontId="10" fillId="5" borderId="30" xfId="0" applyFont="1" applyFill="1" applyBorder="1" applyAlignment="1">
      <alignment vertical="center"/>
    </xf>
    <xf numFmtId="167" fontId="10" fillId="5" borderId="35" xfId="0" applyNumberFormat="1" applyFont="1" applyFill="1" applyBorder="1" applyAlignment="1">
      <alignment vertical="center"/>
    </xf>
    <xf numFmtId="167" fontId="10" fillId="5" borderId="30" xfId="0" applyNumberFormat="1" applyFont="1" applyFill="1" applyBorder="1" applyAlignment="1">
      <alignment vertical="center"/>
    </xf>
    <xf numFmtId="0" fontId="10" fillId="5" borderId="31" xfId="0" applyFont="1" applyFill="1" applyBorder="1" applyAlignment="1">
      <alignment horizontal="left"/>
    </xf>
    <xf numFmtId="0" fontId="10" fillId="5" borderId="33" xfId="0" applyFont="1" applyFill="1" applyBorder="1" applyAlignment="1">
      <alignment horizontal="left"/>
    </xf>
    <xf numFmtId="0" fontId="10" fillId="5" borderId="30" xfId="0" applyFont="1" applyFill="1" applyBorder="1" applyAlignment="1">
      <alignment horizontal="center"/>
    </xf>
    <xf numFmtId="167" fontId="10" fillId="5" borderId="31" xfId="0" applyNumberFormat="1" applyFont="1" applyFill="1" applyBorder="1" applyAlignment="1">
      <alignment horizontal="left" vertical="center"/>
    </xf>
    <xf numFmtId="167" fontId="10" fillId="5" borderId="33" xfId="0" applyNumberFormat="1" applyFont="1" applyFill="1" applyBorder="1" applyAlignment="1">
      <alignment horizontal="center" vertical="center"/>
    </xf>
    <xf numFmtId="167" fontId="10" fillId="4" borderId="30" xfId="0" applyNumberFormat="1" applyFont="1" applyFill="1" applyBorder="1" applyAlignment="1">
      <alignment horizontal="center" vertical="center"/>
    </xf>
    <xf numFmtId="0" fontId="11" fillId="12" borderId="30" xfId="0" applyFont="1" applyFill="1" applyBorder="1" applyAlignment="1">
      <alignment vertical="center" wrapText="1"/>
    </xf>
    <xf numFmtId="0" fontId="6" fillId="2" borderId="31" xfId="0" applyFont="1" applyFill="1" applyBorder="1" applyAlignment="1">
      <alignment horizontal="left" vertical="center"/>
    </xf>
    <xf numFmtId="0" fontId="6" fillId="2" borderId="33" xfId="0" applyFont="1" applyFill="1" applyBorder="1" applyAlignment="1">
      <alignment horizontal="center" vertical="center" wrapText="1"/>
    </xf>
    <xf numFmtId="0" fontId="5" fillId="11" borderId="30" xfId="0" applyFont="1" applyFill="1" applyBorder="1" applyAlignment="1">
      <alignment horizontal="left" vertical="center"/>
    </xf>
    <xf numFmtId="0" fontId="31" fillId="0" borderId="31" xfId="0" applyFont="1" applyBorder="1" applyAlignment="1" applyProtection="1">
      <alignment vertical="center"/>
      <protection locked="0"/>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14" fontId="5" fillId="0" borderId="31" xfId="0" applyNumberFormat="1" applyFont="1" applyBorder="1" applyAlignment="1" applyProtection="1">
      <alignment horizontal="left" vertical="center"/>
      <protection locked="0"/>
    </xf>
    <xf numFmtId="0" fontId="5" fillId="0" borderId="31" xfId="0" applyFont="1" applyBorder="1" applyAlignment="1" applyProtection="1">
      <alignment horizontal="left" vertical="center"/>
      <protection locked="0"/>
    </xf>
    <xf numFmtId="0" fontId="11" fillId="12" borderId="30" xfId="0" applyFont="1" applyFill="1" applyBorder="1" applyAlignment="1">
      <alignment vertical="center"/>
    </xf>
    <xf numFmtId="0" fontId="5" fillId="12" borderId="31" xfId="0" applyFont="1" applyFill="1" applyBorder="1"/>
    <xf numFmtId="0" fontId="32" fillId="12" borderId="32" xfId="0" applyFont="1" applyFill="1" applyBorder="1" applyAlignment="1">
      <alignment horizontal="center" vertical="center"/>
    </xf>
    <xf numFmtId="0" fontId="6" fillId="12" borderId="32" xfId="0" applyFont="1" applyFill="1" applyBorder="1"/>
    <xf numFmtId="0" fontId="4" fillId="12" borderId="32" xfId="0" applyFont="1" applyFill="1" applyBorder="1"/>
    <xf numFmtId="169" fontId="6" fillId="12" borderId="32" xfId="0" applyNumberFormat="1" applyFont="1" applyFill="1" applyBorder="1"/>
    <xf numFmtId="0" fontId="6" fillId="12" borderId="33" xfId="0" applyFont="1" applyFill="1" applyBorder="1"/>
    <xf numFmtId="0" fontId="44" fillId="11" borderId="34" xfId="0" applyFont="1" applyFill="1" applyBorder="1" applyAlignment="1">
      <alignment horizontal="center" wrapText="1"/>
    </xf>
    <xf numFmtId="0" fontId="45" fillId="11" borderId="34" xfId="0" applyFont="1" applyFill="1" applyBorder="1" applyAlignment="1">
      <alignment horizontal="center" vertical="center" wrapText="1"/>
    </xf>
    <xf numFmtId="0" fontId="7" fillId="2" borderId="34" xfId="0" applyFont="1" applyFill="1" applyBorder="1" applyAlignment="1">
      <alignment horizontal="center" vertical="center" wrapText="1"/>
    </xf>
    <xf numFmtId="2" fontId="7" fillId="2" borderId="34" xfId="0" applyNumberFormat="1" applyFont="1" applyFill="1" applyBorder="1" applyAlignment="1">
      <alignment horizontal="center" vertical="center" wrapText="1"/>
    </xf>
    <xf numFmtId="167" fontId="7" fillId="0" borderId="34" xfId="0" applyNumberFormat="1" applyFont="1" applyBorder="1" applyAlignment="1">
      <alignment horizontal="center" vertical="center" wrapText="1"/>
    </xf>
    <xf numFmtId="2" fontId="7" fillId="0" borderId="34" xfId="0" applyNumberFormat="1" applyFont="1" applyBorder="1" applyAlignment="1">
      <alignment horizontal="center" vertical="center" wrapText="1"/>
    </xf>
    <xf numFmtId="2" fontId="7" fillId="11" borderId="34" xfId="0" applyNumberFormat="1" applyFont="1" applyFill="1" applyBorder="1" applyAlignment="1">
      <alignment horizontal="center" vertical="center" wrapText="1"/>
    </xf>
    <xf numFmtId="167" fontId="12" fillId="11" borderId="34" xfId="0" applyNumberFormat="1" applyFont="1" applyFill="1" applyBorder="1" applyAlignment="1">
      <alignment vertical="center" wrapText="1"/>
    </xf>
    <xf numFmtId="0" fontId="7" fillId="12" borderId="26" xfId="0" applyFont="1" applyFill="1" applyBorder="1" applyAlignment="1">
      <alignment vertical="center" wrapText="1"/>
    </xf>
    <xf numFmtId="0" fontId="10" fillId="12" borderId="26" xfId="0" applyFont="1" applyFill="1" applyBorder="1" applyAlignment="1">
      <alignment horizontal="center" vertical="center"/>
    </xf>
    <xf numFmtId="2" fontId="7" fillId="12" borderId="26" xfId="0" applyNumberFormat="1" applyFont="1" applyFill="1" applyBorder="1" applyAlignment="1">
      <alignment horizontal="center" vertical="center" wrapText="1"/>
    </xf>
    <xf numFmtId="167" fontId="7" fillId="12" borderId="26" xfId="0" applyNumberFormat="1" applyFont="1" applyFill="1" applyBorder="1" applyAlignment="1">
      <alignment horizontal="center" vertical="center" wrapText="1"/>
    </xf>
    <xf numFmtId="167" fontId="7" fillId="12" borderId="2" xfId="0" applyNumberFormat="1" applyFont="1" applyFill="1" applyBorder="1" applyAlignment="1">
      <alignment horizontal="right" vertical="center" wrapText="1"/>
    </xf>
    <xf numFmtId="0" fontId="8" fillId="12" borderId="34" xfId="0" applyFont="1" applyFill="1" applyBorder="1" applyAlignment="1">
      <alignment vertical="center"/>
    </xf>
    <xf numFmtId="0" fontId="32" fillId="12" borderId="27" xfId="0" applyFont="1" applyFill="1" applyBorder="1" applyAlignment="1">
      <alignment horizontal="right" vertical="center"/>
    </xf>
    <xf numFmtId="164" fontId="7" fillId="2" borderId="34" xfId="1" applyNumberFormat="1" applyFont="1" applyFill="1" applyBorder="1" applyAlignment="1">
      <alignment horizontal="center" vertical="center" wrapText="1"/>
    </xf>
    <xf numFmtId="167" fontId="10" fillId="11" borderId="47" xfId="0" applyNumberFormat="1" applyFont="1" applyFill="1" applyBorder="1" applyAlignment="1">
      <alignment horizontal="right" vertical="center"/>
    </xf>
    <xf numFmtId="0" fontId="8" fillId="12" borderId="36" xfId="0" applyFont="1" applyFill="1" applyBorder="1" applyAlignment="1">
      <alignment vertical="center"/>
    </xf>
    <xf numFmtId="1" fontId="8" fillId="12" borderId="37" xfId="0" applyNumberFormat="1" applyFont="1" applyFill="1" applyBorder="1" applyAlignment="1">
      <alignment vertical="center"/>
    </xf>
    <xf numFmtId="1" fontId="8" fillId="12" borderId="38" xfId="0" applyNumberFormat="1" applyFont="1" applyFill="1" applyBorder="1" applyAlignment="1">
      <alignment vertical="center"/>
    </xf>
    <xf numFmtId="0" fontId="10" fillId="11" borderId="39" xfId="0" applyFont="1" applyFill="1" applyBorder="1" applyAlignment="1">
      <alignment horizontal="center"/>
    </xf>
    <xf numFmtId="1" fontId="10" fillId="11" borderId="39" xfId="0" applyNumberFormat="1" applyFont="1" applyFill="1" applyBorder="1" applyAlignment="1">
      <alignment vertical="center"/>
    </xf>
    <xf numFmtId="167" fontId="10" fillId="11" borderId="40" xfId="0" applyNumberFormat="1" applyFont="1" applyFill="1" applyBorder="1" applyAlignment="1">
      <alignment vertical="center"/>
    </xf>
    <xf numFmtId="167" fontId="10" fillId="11" borderId="39" xfId="0" applyNumberFormat="1" applyFont="1" applyFill="1" applyBorder="1" applyAlignment="1">
      <alignment vertical="center"/>
    </xf>
    <xf numFmtId="167" fontId="10" fillId="11" borderId="39" xfId="0" applyNumberFormat="1" applyFont="1" applyFill="1" applyBorder="1" applyAlignment="1">
      <alignment horizontal="right" vertical="center"/>
    </xf>
    <xf numFmtId="0" fontId="10" fillId="12" borderId="39" xfId="0" applyFont="1" applyFill="1" applyBorder="1" applyAlignment="1">
      <alignment vertical="center"/>
    </xf>
    <xf numFmtId="167" fontId="10" fillId="12" borderId="40" xfId="0" applyNumberFormat="1" applyFont="1" applyFill="1" applyBorder="1" applyAlignment="1">
      <alignment vertical="center"/>
    </xf>
    <xf numFmtId="167" fontId="10" fillId="12" borderId="39" xfId="0" applyNumberFormat="1" applyFont="1" applyFill="1" applyBorder="1" applyAlignment="1">
      <alignment vertical="center"/>
    </xf>
    <xf numFmtId="167" fontId="10" fillId="12" borderId="39" xfId="0" applyNumberFormat="1" applyFont="1" applyFill="1" applyBorder="1" applyAlignment="1">
      <alignment horizontal="right" vertical="center"/>
    </xf>
    <xf numFmtId="0" fontId="8" fillId="12" borderId="46" xfId="0" applyFont="1" applyFill="1" applyBorder="1" applyAlignment="1">
      <alignment vertical="center"/>
    </xf>
    <xf numFmtId="0" fontId="34" fillId="12" borderId="41" xfId="0" applyFont="1" applyFill="1" applyBorder="1" applyAlignment="1">
      <alignment horizontal="center" vertical="center"/>
    </xf>
    <xf numFmtId="0" fontId="9" fillId="12" borderId="41" xfId="0" applyFont="1" applyFill="1" applyBorder="1" applyAlignment="1">
      <alignment vertical="center"/>
    </xf>
    <xf numFmtId="0" fontId="9" fillId="12" borderId="42" xfId="0" applyFont="1" applyFill="1" applyBorder="1" applyAlignment="1">
      <alignment vertical="center"/>
    </xf>
    <xf numFmtId="0" fontId="10" fillId="11" borderId="39" xfId="0" applyFont="1" applyFill="1" applyBorder="1" applyAlignment="1">
      <alignment vertical="center"/>
    </xf>
    <xf numFmtId="167" fontId="10" fillId="11" borderId="44" xfId="0" applyNumberFormat="1" applyFont="1" applyFill="1" applyBorder="1" applyAlignment="1">
      <alignment horizontal="right" vertical="center"/>
    </xf>
    <xf numFmtId="167" fontId="10" fillId="11" borderId="36" xfId="0" applyNumberFormat="1" applyFont="1" applyFill="1" applyBorder="1" applyAlignment="1">
      <alignment vertical="center"/>
    </xf>
    <xf numFmtId="0" fontId="34" fillId="12" borderId="42" xfId="0" applyFont="1" applyFill="1" applyBorder="1" applyAlignment="1">
      <alignment horizontal="right" vertical="center"/>
    </xf>
    <xf numFmtId="0" fontId="10" fillId="11" borderId="39" xfId="0" applyFont="1" applyFill="1" applyBorder="1" applyAlignment="1">
      <alignment vertical="center" wrapText="1"/>
    </xf>
    <xf numFmtId="167" fontId="10" fillId="11" borderId="40" xfId="0" applyNumberFormat="1" applyFont="1" applyFill="1" applyBorder="1" applyAlignment="1">
      <alignment horizontal="center" vertical="center" wrapText="1"/>
    </xf>
    <xf numFmtId="0" fontId="6" fillId="2" borderId="46" xfId="0" applyFont="1" applyFill="1" applyBorder="1" applyAlignment="1">
      <alignment horizontal="left" vertical="center"/>
    </xf>
    <xf numFmtId="0" fontId="6" fillId="2" borderId="42" xfId="0" applyFont="1" applyFill="1" applyBorder="1" applyAlignment="1">
      <alignment horizontal="center" vertical="center" wrapText="1"/>
    </xf>
    <xf numFmtId="0" fontId="5" fillId="11" borderId="46" xfId="0" applyFont="1" applyFill="1" applyBorder="1" applyAlignment="1">
      <alignment horizontal="left" vertical="center"/>
    </xf>
    <xf numFmtId="0" fontId="5" fillId="11" borderId="41" xfId="0" applyFont="1" applyFill="1" applyBorder="1" applyAlignment="1">
      <alignment horizontal="left" vertical="center"/>
    </xf>
    <xf numFmtId="0" fontId="5" fillId="11" borderId="42" xfId="0" applyFont="1" applyFill="1" applyBorder="1" applyAlignment="1">
      <alignment horizontal="left" vertical="center"/>
    </xf>
    <xf numFmtId="14" fontId="5" fillId="11" borderId="46" xfId="0" applyNumberFormat="1" applyFont="1" applyFill="1" applyBorder="1" applyAlignment="1">
      <alignment horizontal="left" vertical="center"/>
    </xf>
    <xf numFmtId="0" fontId="8" fillId="12" borderId="41" xfId="0" applyFont="1" applyFill="1" applyBorder="1" applyAlignment="1">
      <alignment vertical="center"/>
    </xf>
    <xf numFmtId="167" fontId="10" fillId="2" borderId="40" xfId="0" applyNumberFormat="1" applyFont="1" applyFill="1" applyBorder="1" applyAlignment="1" applyProtection="1">
      <alignment horizontal="center" vertical="center"/>
      <protection locked="0"/>
    </xf>
    <xf numFmtId="167" fontId="10" fillId="11" borderId="39" xfId="0" applyNumberFormat="1" applyFont="1" applyFill="1" applyBorder="1" applyAlignment="1">
      <alignment horizontal="center" vertical="center"/>
    </xf>
    <xf numFmtId="0" fontId="11" fillId="12" borderId="50" xfId="0" applyFont="1" applyFill="1" applyBorder="1" applyAlignment="1">
      <alignment vertical="center"/>
    </xf>
    <xf numFmtId="167" fontId="10" fillId="11" borderId="50" xfId="0" applyNumberFormat="1" applyFont="1" applyFill="1" applyBorder="1" applyAlignment="1">
      <alignment vertical="center"/>
    </xf>
    <xf numFmtId="0" fontId="10" fillId="11" borderId="44" xfId="0" applyFont="1" applyFill="1" applyBorder="1" applyAlignment="1">
      <alignment vertical="center"/>
    </xf>
    <xf numFmtId="167" fontId="10" fillId="11" borderId="45" xfId="0" applyNumberFormat="1" applyFont="1" applyFill="1" applyBorder="1" applyAlignment="1">
      <alignment horizontal="center" vertical="center"/>
    </xf>
    <xf numFmtId="167" fontId="10" fillId="11" borderId="40" xfId="0" applyNumberFormat="1" applyFont="1" applyFill="1" applyBorder="1" applyAlignment="1">
      <alignment horizontal="center" vertical="center"/>
    </xf>
    <xf numFmtId="0" fontId="10" fillId="11" borderId="50" xfId="0" applyFont="1" applyFill="1" applyBorder="1" applyAlignment="1">
      <alignment vertical="center"/>
    </xf>
    <xf numFmtId="167" fontId="10" fillId="11" borderId="50" xfId="0" applyNumberFormat="1" applyFont="1" applyFill="1" applyBorder="1" applyAlignment="1">
      <alignment horizontal="center" vertical="center"/>
    </xf>
    <xf numFmtId="167" fontId="10" fillId="11" borderId="50" xfId="0" applyNumberFormat="1" applyFont="1" applyFill="1" applyBorder="1" applyAlignment="1">
      <alignment horizontal="right" vertical="center"/>
    </xf>
    <xf numFmtId="171" fontId="10" fillId="11" borderId="40" xfId="0" applyNumberFormat="1" applyFont="1" applyFill="1" applyBorder="1" applyAlignment="1">
      <alignment horizontal="center" vertical="center"/>
    </xf>
    <xf numFmtId="0" fontId="11" fillId="12" borderId="50" xfId="0" applyFont="1" applyFill="1" applyBorder="1" applyAlignment="1">
      <alignment vertical="center" wrapText="1"/>
    </xf>
    <xf numFmtId="0" fontId="5" fillId="11" borderId="50" xfId="0" applyFont="1" applyFill="1" applyBorder="1" applyAlignment="1">
      <alignment horizontal="left" vertical="center"/>
    </xf>
    <xf numFmtId="14" fontId="5" fillId="11" borderId="50" xfId="0" applyNumberFormat="1" applyFont="1" applyFill="1" applyBorder="1" applyAlignment="1">
      <alignment horizontal="left" vertical="center"/>
    </xf>
    <xf numFmtId="0" fontId="5" fillId="12" borderId="46" xfId="0" applyFont="1" applyFill="1" applyBorder="1"/>
    <xf numFmtId="0" fontId="32" fillId="12" borderId="41" xfId="0" applyFont="1" applyFill="1" applyBorder="1" applyAlignment="1">
      <alignment horizontal="center" vertical="center"/>
    </xf>
    <xf numFmtId="0" fontId="6" fillId="12" borderId="41" xfId="0" applyFont="1" applyFill="1" applyBorder="1"/>
    <xf numFmtId="0" fontId="4" fillId="11" borderId="51" xfId="0" applyFont="1" applyFill="1" applyBorder="1"/>
    <xf numFmtId="0" fontId="43" fillId="11" borderId="42" xfId="0" applyFont="1" applyFill="1" applyBorder="1" applyAlignment="1">
      <alignment horizontal="center" wrapText="1"/>
    </xf>
    <xf numFmtId="0" fontId="43" fillId="11" borderId="50" xfId="0" applyFont="1" applyFill="1" applyBorder="1" applyAlignment="1">
      <alignment horizontal="center" wrapText="1"/>
    </xf>
    <xf numFmtId="0" fontId="43" fillId="11" borderId="46" xfId="0" applyFont="1" applyFill="1" applyBorder="1" applyAlignment="1">
      <alignment horizontal="center" wrapText="1"/>
    </xf>
    <xf numFmtId="0" fontId="7" fillId="2" borderId="42"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34" xfId="0" applyFont="1" applyFill="1" applyBorder="1" applyAlignment="1" applyProtection="1">
      <alignment horizontal="center" vertical="center" wrapText="1"/>
      <protection locked="0"/>
    </xf>
    <xf numFmtId="164" fontId="7" fillId="0" borderId="34" xfId="0" applyNumberFormat="1" applyFont="1" applyBorder="1" applyAlignment="1">
      <alignment horizontal="center" vertical="center" wrapText="1"/>
    </xf>
    <xf numFmtId="168" fontId="7" fillId="11" borderId="34" xfId="0" applyNumberFormat="1" applyFont="1" applyFill="1" applyBorder="1" applyAlignment="1">
      <alignment vertical="center" wrapText="1"/>
    </xf>
    <xf numFmtId="164" fontId="12" fillId="13" borderId="34" xfId="0" applyNumberFormat="1" applyFont="1" applyFill="1" applyBorder="1" applyAlignment="1">
      <alignment wrapText="1"/>
    </xf>
    <xf numFmtId="0" fontId="7" fillId="11" borderId="46" xfId="0" applyFont="1" applyFill="1" applyBorder="1" applyAlignment="1">
      <alignment vertical="center" wrapText="1"/>
    </xf>
    <xf numFmtId="0" fontId="7" fillId="11" borderId="46" xfId="0" applyFont="1" applyFill="1" applyBorder="1" applyAlignment="1">
      <alignment horizontal="center" vertical="center" wrapText="1"/>
    </xf>
    <xf numFmtId="164" fontId="7" fillId="11" borderId="46" xfId="0" applyNumberFormat="1" applyFont="1" applyFill="1" applyBorder="1" applyAlignment="1">
      <alignment horizontal="center" vertical="center" wrapText="1"/>
    </xf>
    <xf numFmtId="168" fontId="7" fillId="11" borderId="46" xfId="1" applyNumberFormat="1" applyFont="1" applyFill="1" applyBorder="1" applyAlignment="1">
      <alignment vertical="center" wrapText="1"/>
    </xf>
    <xf numFmtId="164" fontId="12" fillId="13" borderId="50" xfId="0" applyNumberFormat="1" applyFont="1" applyFill="1" applyBorder="1" applyAlignment="1">
      <alignment wrapText="1"/>
    </xf>
    <xf numFmtId="169" fontId="6" fillId="12" borderId="41" xfId="0" applyNumberFormat="1" applyFont="1" applyFill="1" applyBorder="1"/>
    <xf numFmtId="0" fontId="6" fillId="12" borderId="42" xfId="0" applyFont="1" applyFill="1" applyBorder="1"/>
    <xf numFmtId="0" fontId="4" fillId="11" borderId="34" xfId="0" applyFont="1" applyFill="1" applyBorder="1"/>
    <xf numFmtId="0" fontId="7" fillId="11" borderId="46" xfId="0" applyFont="1" applyFill="1" applyBorder="1" applyAlignment="1">
      <alignment horizontal="center" wrapText="1"/>
    </xf>
    <xf numFmtId="0" fontId="7" fillId="11" borderId="50" xfId="0" applyFont="1" applyFill="1" applyBorder="1" applyAlignment="1">
      <alignment horizontal="center" wrapText="1"/>
    </xf>
    <xf numFmtId="2" fontId="7" fillId="2" borderId="34" xfId="1" applyNumberFormat="1" applyFont="1" applyFill="1" applyBorder="1" applyAlignment="1" applyProtection="1">
      <alignment horizontal="center" vertical="center" wrapText="1"/>
      <protection locked="0"/>
    </xf>
    <xf numFmtId="2" fontId="7" fillId="0" borderId="34" xfId="1" applyNumberFormat="1" applyFont="1" applyBorder="1" applyAlignment="1">
      <alignment horizontal="center" vertical="center" wrapText="1"/>
    </xf>
    <xf numFmtId="2" fontId="7" fillId="11" borderId="51" xfId="1" applyNumberFormat="1" applyFont="1" applyFill="1" applyBorder="1" applyAlignment="1">
      <alignment horizontal="center" vertical="center" wrapText="1"/>
    </xf>
    <xf numFmtId="0" fontId="10" fillId="11" borderId="46" xfId="0" applyFont="1" applyFill="1" applyBorder="1" applyAlignment="1" applyProtection="1">
      <alignment horizontal="center" vertical="center"/>
      <protection locked="0"/>
    </xf>
    <xf numFmtId="2" fontId="7" fillId="11" borderId="46" xfId="1" applyNumberFormat="1" applyFont="1" applyFill="1" applyBorder="1" applyAlignment="1">
      <alignment horizontal="center" vertical="center" wrapText="1"/>
    </xf>
    <xf numFmtId="2" fontId="7" fillId="11" borderId="50" xfId="1" applyNumberFormat="1" applyFont="1" applyFill="1" applyBorder="1" applyAlignment="1">
      <alignment horizontal="center" vertical="center" wrapText="1"/>
    </xf>
    <xf numFmtId="0" fontId="32" fillId="12" borderId="42" xfId="0" applyFont="1" applyFill="1" applyBorder="1" applyAlignment="1">
      <alignment horizontal="right" vertical="center"/>
    </xf>
    <xf numFmtId="0" fontId="10" fillId="11" borderId="52" xfId="0" applyFont="1" applyFill="1" applyBorder="1" applyAlignment="1">
      <alignment horizontal="center"/>
    </xf>
    <xf numFmtId="170" fontId="43" fillId="11" borderId="53" xfId="0" applyNumberFormat="1" applyFont="1" applyFill="1" applyBorder="1" applyAlignment="1">
      <alignment horizontal="center" vertical="center"/>
    </xf>
    <xf numFmtId="0" fontId="10" fillId="11" borderId="54" xfId="0" applyFont="1" applyFill="1" applyBorder="1" applyAlignment="1">
      <alignment horizontal="center"/>
    </xf>
    <xf numFmtId="0" fontId="10" fillId="0" borderId="52" xfId="0" applyFont="1" applyBorder="1" applyAlignment="1" applyProtection="1">
      <alignment horizontal="center"/>
      <protection locked="0"/>
    </xf>
    <xf numFmtId="164" fontId="7" fillId="2" borderId="50" xfId="0" applyNumberFormat="1" applyFont="1" applyFill="1" applyBorder="1" applyAlignment="1" applyProtection="1">
      <alignment horizontal="center" vertical="center" wrapText="1"/>
      <protection locked="0"/>
    </xf>
    <xf numFmtId="167" fontId="10" fillId="11" borderId="36" xfId="0" applyNumberFormat="1" applyFont="1" applyFill="1" applyBorder="1" applyAlignment="1">
      <alignment horizontal="right" vertical="center"/>
    </xf>
    <xf numFmtId="164" fontId="7" fillId="2" borderId="30" xfId="0" applyNumberFormat="1" applyFont="1" applyFill="1" applyBorder="1" applyAlignment="1" applyProtection="1">
      <alignment horizontal="center" vertical="center" wrapText="1"/>
      <protection locked="0"/>
    </xf>
    <xf numFmtId="0" fontId="10" fillId="11" borderId="52" xfId="0" applyFont="1" applyFill="1" applyBorder="1" applyAlignment="1">
      <alignment vertical="center"/>
    </xf>
    <xf numFmtId="0" fontId="10" fillId="11" borderId="55" xfId="0" applyFont="1" applyFill="1" applyBorder="1" applyAlignment="1" applyProtection="1">
      <alignment horizontal="center" vertical="center"/>
      <protection locked="0"/>
    </xf>
    <xf numFmtId="167" fontId="10" fillId="11" borderId="56" xfId="0" applyNumberFormat="1" applyFont="1" applyFill="1" applyBorder="1" applyAlignment="1">
      <alignment vertical="center"/>
    </xf>
    <xf numFmtId="167" fontId="10" fillId="11" borderId="52" xfId="0" applyNumberFormat="1" applyFont="1" applyFill="1" applyBorder="1" applyAlignment="1">
      <alignment horizontal="right" vertical="center"/>
    </xf>
    <xf numFmtId="0" fontId="8" fillId="12" borderId="47" xfId="0" applyFont="1" applyFill="1" applyBorder="1" applyAlignment="1">
      <alignment vertical="center"/>
    </xf>
    <xf numFmtId="170" fontId="7" fillId="11" borderId="53" xfId="0" applyNumberFormat="1" applyFont="1" applyFill="1" applyBorder="1" applyAlignment="1">
      <alignment horizontal="center" vertical="center"/>
    </xf>
    <xf numFmtId="1" fontId="10" fillId="11" borderId="30" xfId="0" applyNumberFormat="1" applyFont="1" applyFill="1" applyBorder="1" applyAlignment="1">
      <alignment vertical="center"/>
    </xf>
    <xf numFmtId="167" fontId="10" fillId="11" borderId="30" xfId="0" applyNumberFormat="1" applyFont="1" applyFill="1" applyBorder="1" applyAlignment="1">
      <alignment vertical="center"/>
    </xf>
    <xf numFmtId="0" fontId="10" fillId="11" borderId="30" xfId="0" applyFont="1" applyFill="1" applyBorder="1" applyAlignment="1">
      <alignment vertical="center"/>
    </xf>
    <xf numFmtId="0" fontId="8" fillId="12" borderId="30" xfId="0" applyFont="1" applyFill="1" applyBorder="1" applyAlignment="1">
      <alignment vertical="center"/>
    </xf>
    <xf numFmtId="0" fontId="34" fillId="12" borderId="30" xfId="0" applyFont="1" applyFill="1" applyBorder="1" applyAlignment="1">
      <alignment horizontal="center" vertical="center"/>
    </xf>
    <xf numFmtId="0" fontId="9" fillId="12" borderId="30" xfId="0" applyFont="1" applyFill="1" applyBorder="1" applyAlignment="1">
      <alignment vertical="center"/>
    </xf>
    <xf numFmtId="0" fontId="4" fillId="12" borderId="30" xfId="0" applyFont="1" applyFill="1" applyBorder="1"/>
    <xf numFmtId="2" fontId="10" fillId="11" borderId="30" xfId="0" applyNumberFormat="1" applyFont="1" applyFill="1" applyBorder="1" applyAlignment="1">
      <alignment horizontal="center" vertical="center"/>
    </xf>
    <xf numFmtId="167" fontId="0" fillId="0" borderId="28" xfId="0" applyNumberFormat="1" applyBorder="1"/>
    <xf numFmtId="0" fontId="18" fillId="12" borderId="51" xfId="0" applyFont="1" applyFill="1" applyBorder="1" applyAlignment="1">
      <alignment vertical="center" wrapText="1"/>
    </xf>
    <xf numFmtId="0" fontId="7" fillId="12" borderId="42" xfId="0" applyFont="1" applyFill="1" applyBorder="1" applyAlignment="1">
      <alignment horizontal="left" vertical="center"/>
    </xf>
    <xf numFmtId="0" fontId="7" fillId="12" borderId="50" xfId="0" applyFont="1" applyFill="1" applyBorder="1" applyAlignment="1">
      <alignment horizontal="left" vertical="center"/>
    </xf>
    <xf numFmtId="0" fontId="7" fillId="12" borderId="46" xfId="0" applyFont="1" applyFill="1" applyBorder="1" applyAlignment="1">
      <alignment horizontal="left" vertical="center"/>
    </xf>
    <xf numFmtId="0" fontId="17" fillId="12" borderId="42" xfId="0" applyFont="1" applyFill="1" applyBorder="1" applyAlignment="1">
      <alignment horizontal="left" vertical="center"/>
    </xf>
    <xf numFmtId="14" fontId="7" fillId="12" borderId="42" xfId="0" applyNumberFormat="1" applyFont="1" applyFill="1" applyBorder="1" applyAlignment="1">
      <alignment horizontal="center" vertical="center"/>
    </xf>
    <xf numFmtId="0" fontId="7" fillId="12" borderId="50" xfId="0" applyFont="1" applyFill="1" applyBorder="1" applyAlignment="1">
      <alignment horizontal="center" vertical="center"/>
    </xf>
    <xf numFmtId="170" fontId="7" fillId="11" borderId="50" xfId="0" applyNumberFormat="1" applyFont="1" applyFill="1" applyBorder="1" applyAlignment="1">
      <alignment horizontal="center" vertical="center"/>
    </xf>
    <xf numFmtId="0" fontId="10" fillId="11" borderId="50" xfId="0" applyFont="1" applyFill="1" applyBorder="1" applyAlignment="1">
      <alignment horizontal="center"/>
    </xf>
    <xf numFmtId="0" fontId="10" fillId="5" borderId="52" xfId="0" applyFont="1" applyFill="1" applyBorder="1" applyAlignment="1">
      <alignment vertical="center"/>
    </xf>
    <xf numFmtId="167" fontId="10" fillId="5" borderId="56" xfId="0" applyNumberFormat="1" applyFont="1" applyFill="1" applyBorder="1" applyAlignment="1">
      <alignment vertical="center"/>
    </xf>
    <xf numFmtId="0" fontId="10" fillId="6" borderId="52" xfId="0" applyFont="1" applyFill="1" applyBorder="1" applyAlignment="1">
      <alignment vertical="center"/>
    </xf>
    <xf numFmtId="167" fontId="10" fillId="6" borderId="56" xfId="0" applyNumberFormat="1" applyFont="1" applyFill="1" applyBorder="1" applyAlignment="1">
      <alignment vertical="center"/>
    </xf>
    <xf numFmtId="167" fontId="10" fillId="6" borderId="54" xfId="0" applyNumberFormat="1" applyFont="1" applyFill="1" applyBorder="1" applyAlignment="1">
      <alignment vertical="center"/>
    </xf>
    <xf numFmtId="167" fontId="10" fillId="5" borderId="50" xfId="0" applyNumberFormat="1" applyFont="1" applyFill="1" applyBorder="1" applyAlignment="1">
      <alignment vertical="center"/>
    </xf>
    <xf numFmtId="0" fontId="10" fillId="12" borderId="54" xfId="0" applyFont="1" applyFill="1" applyBorder="1" applyAlignment="1">
      <alignment vertical="center"/>
    </xf>
    <xf numFmtId="167" fontId="10" fillId="12" borderId="54" xfId="0" applyNumberFormat="1" applyFont="1" applyFill="1" applyBorder="1" applyAlignment="1">
      <alignment horizontal="center" vertical="center"/>
    </xf>
    <xf numFmtId="167" fontId="10" fillId="12" borderId="52" xfId="0" applyNumberFormat="1" applyFont="1" applyFill="1" applyBorder="1" applyAlignment="1">
      <alignment horizontal="right" vertical="center"/>
    </xf>
    <xf numFmtId="0" fontId="10" fillId="11" borderId="52" xfId="0" applyFont="1" applyFill="1" applyBorder="1" applyAlignment="1">
      <alignment horizontal="left"/>
    </xf>
    <xf numFmtId="167" fontId="10" fillId="11" borderId="54" xfId="0" applyNumberFormat="1" applyFont="1" applyFill="1" applyBorder="1" applyAlignment="1">
      <alignment horizontal="right" vertical="center"/>
    </xf>
    <xf numFmtId="0" fontId="7" fillId="11" borderId="53" xfId="0" applyFont="1" applyFill="1" applyBorder="1" applyAlignment="1">
      <alignment horizontal="center" wrapText="1"/>
    </xf>
    <xf numFmtId="0" fontId="0" fillId="0" borderId="0" xfId="0" applyAlignment="1">
      <alignment horizontal="left" vertical="top" wrapText="1"/>
    </xf>
    <xf numFmtId="0" fontId="24" fillId="0" borderId="0" xfId="2" quotePrefix="1" applyAlignment="1">
      <alignment horizontal="center" vertical="center" wrapText="1"/>
    </xf>
    <xf numFmtId="0" fontId="24" fillId="0" borderId="0" xfId="2" quotePrefix="1" applyAlignment="1">
      <alignment horizontal="left" vertical="top"/>
    </xf>
    <xf numFmtId="0" fontId="0" fillId="0" borderId="19" xfId="0" applyBorder="1" applyAlignment="1">
      <alignment horizontal="left" vertical="top" wrapText="1"/>
    </xf>
    <xf numFmtId="0" fontId="0" fillId="0" borderId="0" xfId="0" quotePrefix="1" applyAlignment="1">
      <alignment horizontal="left" vertical="top" wrapText="1"/>
    </xf>
    <xf numFmtId="0" fontId="26" fillId="0" borderId="0" xfId="0" quotePrefix="1" applyFont="1" applyAlignment="1">
      <alignment horizontal="left" vertical="top" wrapText="1"/>
    </xf>
    <xf numFmtId="0" fontId="0" fillId="0" borderId="0" xfId="0" quotePrefix="1" applyAlignment="1">
      <alignment horizontal="left" vertical="center" wrapText="1"/>
    </xf>
    <xf numFmtId="0" fontId="26" fillId="0" borderId="0" xfId="0" quotePrefix="1" applyFont="1" applyAlignment="1">
      <alignment horizontal="left" vertical="center" wrapText="1"/>
    </xf>
    <xf numFmtId="0" fontId="24" fillId="0" borderId="0" xfId="2" applyBorder="1" applyAlignment="1">
      <alignment horizontal="center"/>
    </xf>
    <xf numFmtId="0" fontId="18" fillId="11" borderId="34" xfId="0" applyFont="1" applyFill="1" applyBorder="1" applyAlignment="1">
      <alignment horizontal="center" vertical="center" wrapText="1"/>
    </xf>
    <xf numFmtId="0" fontId="18" fillId="11" borderId="27" xfId="0" applyFont="1" applyFill="1" applyBorder="1" applyAlignment="1">
      <alignment horizontal="center" vertical="center" wrapText="1"/>
    </xf>
    <xf numFmtId="0" fontId="18" fillId="11" borderId="26" xfId="0" applyFont="1" applyFill="1" applyBorder="1" applyAlignment="1">
      <alignment horizontal="center" vertical="center" wrapText="1"/>
    </xf>
    <xf numFmtId="170" fontId="11" fillId="11" borderId="10" xfId="0" applyNumberFormat="1" applyFont="1" applyFill="1" applyBorder="1" applyAlignment="1">
      <alignment horizontal="center" vertical="center"/>
    </xf>
    <xf numFmtId="170" fontId="11" fillId="11" borderId="9" xfId="0" applyNumberFormat="1" applyFont="1" applyFill="1" applyBorder="1" applyAlignment="1">
      <alignment horizontal="center" vertical="center"/>
    </xf>
    <xf numFmtId="170" fontId="11" fillId="11" borderId="34" xfId="0" applyNumberFormat="1" applyFont="1" applyFill="1" applyBorder="1" applyAlignment="1">
      <alignment horizontal="center" vertical="center"/>
    </xf>
    <xf numFmtId="170" fontId="11" fillId="11" borderId="27" xfId="0" applyNumberFormat="1" applyFont="1" applyFill="1" applyBorder="1" applyAlignment="1">
      <alignment horizontal="center" vertical="center"/>
    </xf>
    <xf numFmtId="170" fontId="11" fillId="11" borderId="26" xfId="0" applyNumberFormat="1" applyFont="1" applyFill="1" applyBorder="1" applyAlignment="1">
      <alignment horizontal="center" vertical="center"/>
    </xf>
    <xf numFmtId="0" fontId="10" fillId="11" borderId="48" xfId="0" applyFont="1" applyFill="1" applyBorder="1" applyAlignment="1">
      <alignment horizontal="center"/>
    </xf>
    <xf numFmtId="0" fontId="10" fillId="11" borderId="49" xfId="0" applyFont="1" applyFill="1" applyBorder="1" applyAlignment="1">
      <alignment horizontal="center"/>
    </xf>
    <xf numFmtId="1" fontId="10" fillId="2" borderId="36" xfId="0" applyNumberFormat="1" applyFont="1" applyFill="1" applyBorder="1" applyAlignment="1" applyProtection="1">
      <alignment horizontal="center" vertical="center"/>
      <protection locked="0"/>
    </xf>
    <xf numFmtId="1" fontId="10" fillId="2" borderId="38" xfId="0" applyNumberFormat="1" applyFont="1" applyFill="1" applyBorder="1" applyAlignment="1" applyProtection="1">
      <alignment horizontal="center" vertical="center"/>
      <protection locked="0"/>
    </xf>
    <xf numFmtId="0" fontId="10" fillId="11" borderId="36" xfId="0" applyFont="1" applyFill="1" applyBorder="1" applyAlignment="1">
      <alignment horizontal="center" vertical="center"/>
    </xf>
    <xf numFmtId="0" fontId="10" fillId="11" borderId="38" xfId="0" applyFont="1" applyFill="1" applyBorder="1" applyAlignment="1">
      <alignment horizontal="center" vertical="center"/>
    </xf>
    <xf numFmtId="170" fontId="4" fillId="11" borderId="50" xfId="0" applyNumberFormat="1" applyFont="1" applyFill="1" applyBorder="1" applyAlignment="1">
      <alignment horizontal="center" vertical="center"/>
    </xf>
    <xf numFmtId="170" fontId="4" fillId="11" borderId="51" xfId="0" applyNumberFormat="1" applyFont="1" applyFill="1" applyBorder="1" applyAlignment="1">
      <alignment horizontal="center" vertical="center"/>
    </xf>
    <xf numFmtId="170" fontId="4" fillId="11" borderId="2" xfId="0" applyNumberFormat="1" applyFont="1" applyFill="1" applyBorder="1" applyAlignment="1">
      <alignment horizontal="center" vertical="center"/>
    </xf>
    <xf numFmtId="0" fontId="7" fillId="0" borderId="0" xfId="0" applyFont="1" applyAlignment="1">
      <alignment horizontal="center" vertical="center" wrapText="1"/>
    </xf>
    <xf numFmtId="170" fontId="4" fillId="11" borderId="27" xfId="0" applyNumberFormat="1" applyFont="1" applyFill="1" applyBorder="1" applyAlignment="1">
      <alignment horizontal="center" vertical="center"/>
    </xf>
    <xf numFmtId="170" fontId="4" fillId="11" borderId="28" xfId="0" applyNumberFormat="1" applyFont="1" applyFill="1" applyBorder="1" applyAlignment="1">
      <alignment horizontal="center" vertical="center"/>
    </xf>
    <xf numFmtId="170" fontId="4" fillId="11" borderId="34" xfId="0" applyNumberFormat="1" applyFont="1" applyFill="1" applyBorder="1" applyAlignment="1">
      <alignment horizontal="center" vertical="center"/>
    </xf>
    <xf numFmtId="170" fontId="4" fillId="11" borderId="53" xfId="0" applyNumberFormat="1" applyFont="1" applyFill="1" applyBorder="1" applyAlignment="1">
      <alignment horizontal="center" vertical="center"/>
    </xf>
    <xf numFmtId="0" fontId="7" fillId="11" borderId="34" xfId="0" applyFont="1" applyFill="1" applyBorder="1" applyAlignment="1">
      <alignment horizontal="center" vertical="center" wrapText="1"/>
    </xf>
    <xf numFmtId="0" fontId="7" fillId="11" borderId="27" xfId="0" applyFont="1" applyFill="1" applyBorder="1" applyAlignment="1">
      <alignment horizontal="center" vertical="center" wrapText="1"/>
    </xf>
    <xf numFmtId="0" fontId="7" fillId="11" borderId="53" xfId="0" applyFont="1" applyFill="1" applyBorder="1" applyAlignment="1">
      <alignment horizontal="center" vertical="center" wrapText="1"/>
    </xf>
    <xf numFmtId="0" fontId="4" fillId="11" borderId="9" xfId="0" applyFont="1" applyFill="1" applyBorder="1" applyAlignment="1">
      <alignment horizontal="center"/>
    </xf>
    <xf numFmtId="2" fontId="10" fillId="11" borderId="31" xfId="0" applyNumberFormat="1" applyFont="1" applyFill="1" applyBorder="1" applyAlignment="1">
      <alignment horizontal="center" vertical="center"/>
    </xf>
    <xf numFmtId="2" fontId="10" fillId="11" borderId="32" xfId="0" applyNumberFormat="1" applyFont="1" applyFill="1" applyBorder="1" applyAlignment="1">
      <alignment horizontal="center" vertical="center"/>
    </xf>
    <xf numFmtId="2" fontId="10" fillId="11" borderId="33" xfId="0" applyNumberFormat="1" applyFont="1" applyFill="1" applyBorder="1" applyAlignment="1">
      <alignment horizontal="center" vertical="center"/>
    </xf>
    <xf numFmtId="0" fontId="4" fillId="12" borderId="31" xfId="0" applyFont="1" applyFill="1" applyBorder="1" applyAlignment="1">
      <alignment horizontal="center"/>
    </xf>
    <xf numFmtId="0" fontId="4" fillId="12" borderId="32" xfId="0" applyFont="1" applyFill="1" applyBorder="1" applyAlignment="1">
      <alignment horizontal="center"/>
    </xf>
    <xf numFmtId="0" fontId="4" fillId="12" borderId="33" xfId="0" applyFont="1" applyFill="1" applyBorder="1" applyAlignment="1">
      <alignment horizontal="center"/>
    </xf>
    <xf numFmtId="0" fontId="10" fillId="11" borderId="31" xfId="0" applyFont="1" applyFill="1" applyBorder="1" applyAlignment="1">
      <alignment horizontal="center"/>
    </xf>
    <xf numFmtId="0" fontId="10" fillId="11" borderId="33" xfId="0" applyFont="1" applyFill="1" applyBorder="1" applyAlignment="1">
      <alignment horizontal="center"/>
    </xf>
    <xf numFmtId="167" fontId="10" fillId="11" borderId="31" xfId="0" applyNumberFormat="1" applyFont="1" applyFill="1" applyBorder="1" applyAlignment="1">
      <alignment horizontal="center" vertical="center"/>
    </xf>
    <xf numFmtId="167" fontId="10" fillId="11" borderId="33" xfId="0" applyNumberFormat="1" applyFont="1" applyFill="1" applyBorder="1" applyAlignment="1">
      <alignment horizontal="center" vertical="center"/>
    </xf>
    <xf numFmtId="170" fontId="11" fillId="11" borderId="57" xfId="0" applyNumberFormat="1" applyFont="1" applyFill="1" applyBorder="1" applyAlignment="1">
      <alignment horizontal="center" vertical="center"/>
    </xf>
    <xf numFmtId="0" fontId="18" fillId="11" borderId="57" xfId="0" applyFont="1" applyFill="1" applyBorder="1" applyAlignment="1">
      <alignment horizontal="center" vertical="center" wrapText="1"/>
    </xf>
    <xf numFmtId="0" fontId="10" fillId="12" borderId="58" xfId="0" applyFont="1" applyFill="1" applyBorder="1" applyAlignment="1">
      <alignment horizontal="center" vertical="center"/>
    </xf>
    <xf numFmtId="170" fontId="4" fillId="11" borderId="59" xfId="0" applyNumberFormat="1" applyFont="1" applyFill="1" applyBorder="1" applyAlignment="1">
      <alignment horizontal="center" vertical="center"/>
    </xf>
    <xf numFmtId="0" fontId="7" fillId="11" borderId="59" xfId="0" applyFont="1" applyFill="1" applyBorder="1" applyAlignment="1">
      <alignment horizontal="center" vertical="center" wrapText="1"/>
    </xf>
    <xf numFmtId="0" fontId="10" fillId="11" borderId="60" xfId="0" applyFont="1" applyFill="1" applyBorder="1" applyAlignment="1" applyProtection="1">
      <alignment horizontal="center" vertical="center"/>
      <protection locked="0"/>
    </xf>
    <xf numFmtId="0" fontId="7" fillId="11" borderId="61" xfId="0" applyFont="1" applyFill="1" applyBorder="1" applyAlignment="1">
      <alignment vertical="center" wrapText="1"/>
    </xf>
    <xf numFmtId="1" fontId="34" fillId="12" borderId="62" xfId="0" applyNumberFormat="1" applyFont="1" applyFill="1" applyBorder="1" applyAlignment="1">
      <alignment horizontal="center" vertical="center"/>
    </xf>
    <xf numFmtId="1" fontId="8" fillId="12" borderId="62" xfId="0" applyNumberFormat="1" applyFont="1" applyFill="1" applyBorder="1" applyAlignment="1">
      <alignment vertical="center"/>
    </xf>
    <xf numFmtId="1" fontId="8" fillId="12" borderId="63" xfId="0" applyNumberFormat="1" applyFont="1" applyFill="1" applyBorder="1" applyAlignment="1">
      <alignment vertical="center"/>
    </xf>
    <xf numFmtId="0" fontId="4" fillId="11" borderId="59" xfId="0" applyFont="1" applyFill="1" applyBorder="1" applyAlignment="1">
      <alignment horizontal="center"/>
    </xf>
  </cellXfs>
  <cellStyles count="4">
    <cellStyle name="Currency" xfId="1" builtinId="4"/>
    <cellStyle name="Hyperlink" xfId="2" builtinId="8"/>
    <cellStyle name="Normal" xfId="0" builtinId="0"/>
    <cellStyle name="Percent" xfId="3" builtinId="5"/>
  </cellStyles>
  <dxfs count="186">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0" formatCode="General"/>
    </dxf>
    <dxf>
      <numFmt numFmtId="0" formatCode="General"/>
    </dxf>
    <dxf>
      <border outline="0">
        <top style="thin">
          <color indexed="64"/>
        </top>
      </border>
    </dxf>
    <dxf>
      <font>
        <b val="0"/>
        <i val="0"/>
        <strike val="0"/>
        <condense val="0"/>
        <extend val="0"/>
        <outline val="0"/>
        <shadow val="0"/>
        <u val="none"/>
        <vertAlign val="baseline"/>
        <sz val="9"/>
        <color theme="1"/>
        <name val="Microsoft Sans Serif"/>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0" formatCode="General"/>
    </dxf>
    <dxf>
      <numFmt numFmtId="0" formatCode="General"/>
    </dxf>
    <dxf>
      <numFmt numFmtId="0" formatCode="General"/>
    </dxf>
    <dxf>
      <numFmt numFmtId="0" formatCode="General"/>
    </dxf>
    <dxf>
      <numFmt numFmtId="0" formatCode="General"/>
    </dxf>
    <dxf>
      <border outline="0">
        <top style="thin">
          <color indexed="64"/>
        </top>
      </border>
    </dxf>
    <dxf>
      <font>
        <b val="0"/>
        <i val="0"/>
        <strike val="0"/>
        <condense val="0"/>
        <extend val="0"/>
        <outline val="0"/>
        <shadow val="0"/>
        <u val="none"/>
        <vertAlign val="baseline"/>
        <sz val="9"/>
        <color theme="1"/>
        <name val="Microsoft Sans Serif"/>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numFmt numFmtId="167" formatCode="&quot;$&quot;#,##0"/>
    </dxf>
    <dxf>
      <border outline="0">
        <top style="thin">
          <color indexed="64"/>
        </top>
      </border>
    </dxf>
    <dxf>
      <font>
        <b val="0"/>
        <i val="0"/>
        <strike val="0"/>
        <condense val="0"/>
        <extend val="0"/>
        <outline val="0"/>
        <shadow val="0"/>
        <u val="none"/>
        <vertAlign val="baseline"/>
        <sz val="9"/>
        <color theme="1"/>
        <name val="Microsoft Sans Serif"/>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i val="0"/>
        <strike val="0"/>
        <condense val="0"/>
        <extend val="0"/>
        <outline val="0"/>
        <shadow val="0"/>
        <u val="none"/>
        <vertAlign val="baseline"/>
        <sz val="11"/>
        <color theme="1"/>
        <name val="Calibri"/>
        <family val="2"/>
        <scheme val="minor"/>
      </font>
      <numFmt numFmtId="166" formatCode="_-&quot;$&quot;* #,##0_-;\-&quot;$&quot;* #,##0_-;_-&quot;$&quot;* &quot;-&quot;??_-;_-@_-"/>
      <fill>
        <patternFill patternType="none">
          <bgColor auto="1"/>
        </patternFill>
      </fill>
    </dxf>
    <dxf>
      <font>
        <b val="0"/>
        <i val="0"/>
        <strike val="0"/>
        <condense val="0"/>
        <extend val="0"/>
        <outline val="0"/>
        <shadow val="0"/>
        <u val="none"/>
        <vertAlign val="baseline"/>
        <sz val="11"/>
        <color theme="1"/>
        <name val="Calibri"/>
        <family val="2"/>
        <scheme val="minor"/>
      </font>
      <numFmt numFmtId="166" formatCode="_-&quot;$&quot;* #,##0_-;\-&quot;$&quot;* #,##0_-;_-&quot;$&quot;*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6" formatCode="_-&quot;$&quot;* #,##0_-;\-&quot;$&quot;* #,##0_-;_-&quot;$&quot;* &quot;-&quot;??_-;_-@_-"/>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theme="7" tint="0.39997558519241921"/>
        </left>
        <right style="thin">
          <color theme="7" tint="0.39997558519241921"/>
        </right>
        <top/>
        <bottom/>
      </border>
    </dxf>
    <dxf>
      <numFmt numFmtId="166" formatCode="_-&quot;$&quot;* #,##0_-;\-&quot;$&quot;* #,##0_-;_-&quot;$&quot;* &quot;-&quot;??_-;_-@_-"/>
    </dxf>
    <dxf>
      <numFmt numFmtId="166" formatCode="_-&quot;$&quot;* #,##0_-;\-&quot;$&quot;* #,##0_-;_-&quot;$&quot;* &quot;-&quot;??_-;_-@_-"/>
    </dxf>
    <dxf>
      <numFmt numFmtId="166" formatCode="_-&quot;$&quot;* #,##0_-;\-&quot;$&quot;* #,##0_-;_-&quot;$&quot;* &quot;-&quot;??_-;_-@_-"/>
    </dxf>
    <dxf>
      <font>
        <b val="0"/>
        <i val="0"/>
        <strike val="0"/>
        <condense val="0"/>
        <extend val="0"/>
        <outline val="0"/>
        <shadow val="0"/>
        <u val="none"/>
        <vertAlign val="baseline"/>
        <sz val="9"/>
        <color indexed="8"/>
        <name val="Microsoft Sans Serif"/>
        <family val="2"/>
        <scheme val="none"/>
      </font>
      <numFmt numFmtId="167" formatCode="&quot;$&quot;#,##0"/>
      <fill>
        <patternFill patternType="solid">
          <fgColor indexed="64"/>
          <bgColor rgb="FFA2DEDE"/>
        </patternFill>
      </fill>
      <alignment horizontal="right" vertical="center" textRotation="0" wrapText="0" indent="0" justifyLastLine="0" shrinkToFit="0" readingOrder="0"/>
      <border diagonalUp="0" diagonalDown="0">
        <left style="thin">
          <color indexed="8"/>
        </left>
        <right/>
        <top style="thin">
          <color indexed="8"/>
        </top>
        <bottom style="thin">
          <color indexed="8"/>
        </bottom>
        <vertical/>
        <horizontal/>
      </border>
    </dxf>
    <dxf>
      <font>
        <b val="0"/>
        <i val="0"/>
        <strike val="0"/>
        <condense val="0"/>
        <extend val="0"/>
        <outline val="0"/>
        <shadow val="0"/>
        <u val="none"/>
        <vertAlign val="baseline"/>
        <sz val="9"/>
        <color theme="1"/>
        <name val="Microsoft Sans Serif"/>
        <family val="2"/>
        <scheme val="none"/>
      </font>
      <numFmt numFmtId="164" formatCode="&quot;$&quot;#,##0;\-&quot;$&quot;#,##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auto="1"/>
        </bottom>
        <vertical/>
        <horizontal/>
      </border>
      <protection locked="0" hidden="0"/>
    </dxf>
    <dxf>
      <font>
        <b val="0"/>
        <i val="0"/>
        <strike val="0"/>
        <condense val="0"/>
        <extend val="0"/>
        <outline val="0"/>
        <shadow val="0"/>
        <u val="none"/>
        <vertAlign val="baseline"/>
        <sz val="9"/>
        <color theme="1"/>
        <name val="Microsoft Sans Serif"/>
        <family val="2"/>
        <scheme val="none"/>
      </font>
      <numFmt numFmtId="164" formatCode="&quot;$&quot;#,##0;\-&quot;$&quot;#,##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auto="1"/>
        </bottom>
        <vertical/>
        <horizontal/>
      </border>
      <protection locked="0" hidden="0"/>
    </dxf>
    <dxf>
      <font>
        <b val="0"/>
        <i val="0"/>
        <strike val="0"/>
        <condense val="0"/>
        <extend val="0"/>
        <outline val="0"/>
        <shadow val="0"/>
        <u val="none"/>
        <vertAlign val="baseline"/>
        <sz val="9"/>
        <color theme="1"/>
        <name val="Microsoft Sans Serif"/>
        <family val="2"/>
        <scheme val="none"/>
      </font>
      <numFmt numFmtId="164" formatCode="&quot;$&quot;#,##0;\-&quot;$&quot;#,##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auto="1"/>
        </bottom>
        <vertical/>
        <horizontal/>
      </border>
      <protection locked="0" hidden="0"/>
    </dxf>
    <dxf>
      <font>
        <b val="0"/>
        <i val="0"/>
        <strike val="0"/>
        <condense val="0"/>
        <extend val="0"/>
        <outline val="0"/>
        <shadow val="0"/>
        <u val="none"/>
        <vertAlign val="baseline"/>
        <sz val="9"/>
        <color theme="1"/>
        <name val="Microsoft Sans Serif"/>
        <family val="2"/>
        <scheme val="none"/>
      </font>
      <numFmt numFmtId="164" formatCode="&quot;$&quot;#,##0;\-&quot;$&quot;#,##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auto="1"/>
        </bottom>
        <vertical/>
        <horizontal/>
      </border>
      <protection locked="0" hidden="0"/>
    </dxf>
    <dxf>
      <font>
        <b val="0"/>
        <i val="0"/>
        <strike val="0"/>
        <condense val="0"/>
        <extend val="0"/>
        <outline val="0"/>
        <shadow val="0"/>
        <u val="none"/>
        <vertAlign val="baseline"/>
        <sz val="9"/>
        <color theme="1"/>
        <name val="Microsoft Sans Serif"/>
        <family val="2"/>
        <scheme val="none"/>
      </font>
      <numFmt numFmtId="164" formatCode="&quot;$&quot;#,##0;\-&quot;$&quot;#,##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auto="1"/>
        </bottom>
        <vertical/>
        <horizontal/>
      </border>
      <protection locked="0" hidden="0"/>
    </dxf>
    <dxf>
      <font>
        <b val="0"/>
        <i val="0"/>
        <strike val="0"/>
        <condense val="0"/>
        <extend val="0"/>
        <outline val="0"/>
        <shadow val="0"/>
        <u val="none"/>
        <vertAlign val="baseline"/>
        <sz val="9"/>
        <color indexed="8"/>
        <name val="Microsoft Sans Serif"/>
        <family val="2"/>
        <scheme val="none"/>
      </font>
      <alignment horizontal="center" vertical="bottom" textRotation="0" wrapText="0" indent="0" justifyLastLine="0" shrinkToFit="0" readingOrder="0"/>
      <border diagonalUp="0" diagonalDown="0">
        <left style="thin">
          <color indexed="8"/>
        </left>
        <right style="thin">
          <color indexed="8"/>
        </right>
        <top/>
        <bottom style="thin">
          <color indexed="8"/>
        </bottom>
        <vertical/>
        <horizontal/>
      </border>
      <protection locked="0" hidden="0"/>
    </dxf>
    <dxf>
      <font>
        <b val="0"/>
        <i val="0"/>
        <strike val="0"/>
        <condense val="0"/>
        <extend val="0"/>
        <outline val="0"/>
        <shadow val="0"/>
        <u val="none"/>
        <vertAlign val="baseline"/>
        <sz val="9"/>
        <color theme="1"/>
        <name val="Microsoft Sans Serif"/>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indexed="64"/>
        </right>
        <top style="thin">
          <color auto="1"/>
        </top>
        <bottom style="thin">
          <color auto="1"/>
        </bottom>
        <vertical/>
        <horizontal/>
      </border>
      <protection locked="0" hidden="0"/>
    </dxf>
    <dxf>
      <border outline="0">
        <right style="thin">
          <color indexed="8"/>
        </right>
        <bottom style="thin">
          <color indexed="8"/>
        </bottom>
      </border>
    </dxf>
    <dxf>
      <font>
        <b val="0"/>
        <i val="0"/>
        <strike val="0"/>
        <condense val="0"/>
        <extend val="0"/>
        <outline val="0"/>
        <shadow val="0"/>
        <u val="none"/>
        <vertAlign val="baseline"/>
        <sz val="9"/>
        <color theme="1"/>
        <name val="Microsoft Sans Serif"/>
        <family val="2"/>
        <scheme val="none"/>
      </font>
      <fill>
        <patternFill patternType="solid">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Microsoft Sans Serif"/>
        <family val="2"/>
        <scheme val="none"/>
      </font>
      <numFmt numFmtId="170" formatCode="&quot;Year &quot;#"/>
      <fill>
        <patternFill patternType="solid">
          <fgColor indexed="64"/>
          <bgColor rgb="FFA2DEDE"/>
        </patternFill>
      </fill>
      <alignment horizontal="center" vertical="center" textRotation="0" wrapText="0" indent="0" justifyLastLine="0" shrinkToFit="0" readingOrder="0"/>
    </dxf>
    <dxf>
      <font>
        <b val="0"/>
        <i val="0"/>
        <strike val="0"/>
        <condense val="0"/>
        <extend val="0"/>
        <outline val="0"/>
        <shadow val="0"/>
        <u val="none"/>
        <vertAlign val="baseline"/>
        <sz val="9"/>
        <color rgb="FF000000"/>
        <name val="Microsoft Sans Serif"/>
        <family val="2"/>
        <scheme val="none"/>
      </font>
      <numFmt numFmtId="164" formatCode="&quot;$&quot;#,##0;\-&quot;$&quot;#,##0"/>
      <fill>
        <patternFill patternType="solid">
          <fgColor theme="6" tint="0.79998168889431442"/>
          <bgColor rgb="FFA2DEDE"/>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Microsoft Sans Serif"/>
        <family val="2"/>
        <scheme val="none"/>
      </font>
      <numFmt numFmtId="168" formatCode="0.0"/>
      <fill>
        <patternFill patternType="solid">
          <fgColor indexed="64"/>
          <bgColor rgb="FFA2DEDE"/>
        </patternFill>
      </fill>
      <alignment horizontal="general"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Microsoft Sans Serif"/>
        <family val="2"/>
        <scheme val="none"/>
      </font>
      <numFmt numFmtId="164" formatCode="&quot;$&quot;#,##0;\-&quot;$&quot;#,##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Microsoft Sans Serif"/>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9"/>
        <color theme="1"/>
        <name val="Microsoft Sans Serif"/>
        <family val="2"/>
        <scheme val="none"/>
      </font>
      <numFmt numFmtId="164" formatCode="&quot;$&quot;#,##0;\-&quot;$&quot;#,##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Microsoft Sans Serif"/>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9"/>
        <color theme="1"/>
        <name val="Microsoft Sans Serif"/>
        <family val="2"/>
        <scheme val="none"/>
      </font>
      <numFmt numFmtId="164" formatCode="&quot;$&quot;#,##0;\-&quot;$&quot;#,##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Microsoft Sans Serif"/>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9"/>
        <color theme="1"/>
        <name val="Microsoft Sans Serif"/>
        <family val="2"/>
        <scheme val="none"/>
      </font>
      <numFmt numFmtId="164" formatCode="&quot;$&quot;#,##0;\-&quot;$&quot;#,##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Microsoft Sans Serif"/>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9"/>
        <color theme="1"/>
        <name val="Microsoft Sans Serif"/>
        <family val="2"/>
        <scheme val="none"/>
      </font>
      <numFmt numFmtId="164" formatCode="&quot;$&quot;#,##0;\-&quot;$&quot;#,##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Microsoft Sans Serif"/>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9"/>
        <color theme="1"/>
        <name val="Microsoft Sans Serif"/>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indexed="64"/>
        </right>
        <top style="thin">
          <color auto="1"/>
        </top>
        <bottom style="thin">
          <color auto="1"/>
        </bottom>
        <vertical/>
        <horizontal/>
      </border>
      <protection locked="0" hidden="0"/>
    </dxf>
    <dxf>
      <font>
        <b val="0"/>
        <i val="0"/>
        <strike val="0"/>
        <condense val="0"/>
        <extend val="0"/>
        <outline val="0"/>
        <shadow val="0"/>
        <u val="none"/>
        <vertAlign val="baseline"/>
        <sz val="9"/>
        <color theme="1"/>
        <name val="Microsoft Sans Serif"/>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indexed="64"/>
        </right>
        <top style="thin">
          <color auto="1"/>
        </top>
        <bottom style="thin">
          <color auto="1"/>
        </bottom>
        <vertical/>
        <horizontal/>
      </border>
      <protection locked="0" hidden="0"/>
    </dxf>
    <dxf>
      <font>
        <b val="0"/>
        <i val="0"/>
        <strike val="0"/>
        <condense val="0"/>
        <extend val="0"/>
        <outline val="0"/>
        <shadow val="0"/>
        <u val="none"/>
        <vertAlign val="baseline"/>
        <sz val="9"/>
        <color theme="1"/>
        <name val="Microsoft Sans Serif"/>
        <family val="2"/>
        <scheme val="none"/>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auto="1"/>
        </top>
        <bottom style="thin">
          <color auto="1"/>
        </bottom>
        <vertical/>
        <horizontal/>
      </border>
      <protection locked="0" hidden="0"/>
    </dxf>
    <dxf>
      <border outline="0">
        <left style="thin">
          <color auto="1"/>
        </left>
        <right style="thin">
          <color indexed="64"/>
        </right>
      </border>
    </dxf>
    <dxf>
      <font>
        <b val="0"/>
        <i val="0"/>
        <strike val="0"/>
        <condense val="0"/>
        <extend val="0"/>
        <outline val="0"/>
        <shadow val="0"/>
        <u val="none"/>
        <vertAlign val="baseline"/>
        <sz val="9"/>
        <color auto="1"/>
        <name val="Microsoft Sans Serif"/>
        <family val="2"/>
        <scheme val="none"/>
      </font>
      <fill>
        <patternFill patternType="solid">
          <fgColor indexed="64"/>
          <bgColor rgb="FFA2DEDE"/>
        </patternFill>
      </fill>
      <alignment horizontal="center" vertical="bottom" textRotation="0" wrapText="1" indent="0" justifyLastLine="0" shrinkToFit="0" readingOrder="0"/>
      <border diagonalUp="0" diagonalDown="0" outline="0">
        <left style="thin">
          <color auto="1"/>
        </left>
        <right style="thin">
          <color auto="1"/>
        </right>
        <top/>
        <bottom/>
      </border>
    </dxf>
    <dxf>
      <fill>
        <patternFill>
          <bgColor theme="9" tint="0.39994506668294322"/>
        </patternFill>
      </fill>
    </dxf>
    <dxf>
      <fill>
        <patternFill>
          <bgColor rgb="FFFF9999"/>
        </patternFill>
      </fill>
    </dxf>
    <dxf>
      <fill>
        <patternFill>
          <bgColor rgb="FFFF7C80"/>
        </patternFill>
      </fill>
    </dxf>
    <dxf>
      <fill>
        <patternFill>
          <bgColor theme="9" tint="0.39994506668294322"/>
        </patternFill>
      </fill>
    </dxf>
    <dxf>
      <fill>
        <patternFill>
          <bgColor rgb="FFFF7C80"/>
        </patternFill>
      </fill>
    </dxf>
    <dxf>
      <fill>
        <patternFill>
          <bgColor theme="9" tint="0.39994506668294322"/>
        </patternFill>
      </fill>
    </dxf>
    <dxf>
      <fill>
        <patternFill>
          <bgColor rgb="FFFF7C80"/>
        </patternFill>
      </fill>
    </dxf>
    <dxf>
      <fill>
        <patternFill>
          <bgColor theme="9" tint="0.39994506668294322"/>
        </patternFill>
      </fill>
    </dxf>
    <dxf>
      <fill>
        <patternFill>
          <bgColor rgb="FFFF7C80"/>
        </patternFill>
      </fill>
    </dxf>
    <dxf>
      <fill>
        <patternFill>
          <bgColor theme="9" tint="0.39994506668294322"/>
        </patternFill>
      </fill>
    </dxf>
    <dxf>
      <fill>
        <patternFill>
          <bgColor theme="9" tint="0.39994506668294322"/>
        </patternFill>
      </fill>
    </dxf>
    <dxf>
      <fill>
        <patternFill>
          <bgColor rgb="FFFF7C80"/>
        </patternFill>
      </fill>
    </dxf>
    <dxf>
      <fill>
        <patternFill>
          <bgColor theme="9" tint="0.39994506668294322"/>
        </patternFill>
      </fill>
    </dxf>
    <dxf>
      <fill>
        <patternFill>
          <bgColor rgb="FFFF8B8B"/>
        </patternFill>
      </fill>
    </dxf>
    <dxf>
      <fill>
        <patternFill>
          <bgColor theme="5" tint="0.39994506668294322"/>
        </patternFill>
      </fill>
    </dxf>
    <dxf>
      <fill>
        <patternFill>
          <bgColor rgb="FFFF9999"/>
        </patternFill>
      </fill>
    </dxf>
    <dxf>
      <fill>
        <patternFill>
          <bgColor theme="9" tint="0.39994506668294322"/>
        </patternFill>
      </fill>
    </dxf>
    <dxf>
      <fill>
        <patternFill>
          <bgColor rgb="FFFF7C80"/>
        </patternFill>
      </fill>
    </dxf>
    <dxf>
      <fill>
        <patternFill>
          <bgColor theme="9" tint="0.39994506668294322"/>
        </patternFill>
      </fill>
    </dxf>
    <dxf>
      <fill>
        <patternFill>
          <bgColor rgb="FFFF9999"/>
        </patternFill>
      </fill>
    </dxf>
    <dxf>
      <fill>
        <patternFill>
          <bgColor theme="9" tint="0.39994506668294322"/>
        </patternFill>
      </fill>
    </dxf>
    <dxf>
      <font>
        <b val="0"/>
        <i val="0"/>
        <strike val="0"/>
        <condense val="0"/>
        <extend val="0"/>
        <outline val="0"/>
        <shadow val="0"/>
        <u val="none"/>
        <vertAlign val="baseline"/>
        <sz val="9"/>
        <color rgb="FF000000"/>
        <name val="Microsoft Sans Serif"/>
        <family val="2"/>
        <scheme val="none"/>
      </font>
      <numFmt numFmtId="167" formatCode="&quot;$&quot;#,##0"/>
      <fill>
        <patternFill patternType="solid">
          <fgColor indexed="64"/>
          <bgColor rgb="FFA2DEDE"/>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Microsoft Sans Serif"/>
        <family val="2"/>
        <scheme val="none"/>
      </font>
      <numFmt numFmtId="2" formatCode="0.00"/>
      <fill>
        <patternFill patternType="solid">
          <fgColor indexed="64"/>
          <bgColor rgb="FFA2DEDE"/>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Microsoft Sans Serif"/>
        <family val="2"/>
        <scheme val="none"/>
      </font>
      <numFmt numFmtId="167" formatCode="&quot;$&quot;#,##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Microsoft Sans Serif"/>
        <family val="2"/>
        <scheme val="none"/>
      </font>
      <numFmt numFmtId="2" formatCode="0.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Microsoft Sans Serif"/>
        <family val="2"/>
        <scheme val="none"/>
      </font>
      <numFmt numFmtId="167" formatCode="&quot;$&quot;#,##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Microsoft Sans Serif"/>
        <family val="2"/>
        <scheme val="none"/>
      </font>
      <numFmt numFmtId="2" formatCode="0.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Microsoft Sans Serif"/>
        <family val="2"/>
        <scheme val="none"/>
      </font>
      <numFmt numFmtId="167" formatCode="&quot;$&quot;#,##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Microsoft Sans Serif"/>
        <family val="2"/>
        <scheme val="none"/>
      </font>
      <numFmt numFmtId="2" formatCode="0.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Microsoft Sans Serif"/>
        <family val="2"/>
        <scheme val="none"/>
      </font>
      <numFmt numFmtId="167" formatCode="&quot;$&quot;#,##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Microsoft Sans Serif"/>
        <family val="2"/>
        <scheme val="none"/>
      </font>
      <numFmt numFmtId="2" formatCode="0.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Microsoft Sans Serif"/>
        <family val="2"/>
        <scheme val="none"/>
      </font>
      <numFmt numFmtId="167" formatCode="&quot;$&quot;#,##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Microsoft Sans Serif"/>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Microsoft Sans Serif"/>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Microsoft Sans Serif"/>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theme="1"/>
        <name val="Microsoft Sans Serif"/>
        <family val="2"/>
        <scheme val="none"/>
      </font>
      <fill>
        <patternFill patternType="solid">
          <fgColor indexed="64"/>
          <bgColor theme="0"/>
        </patternFill>
      </fill>
      <alignment horizontal="center" vertical="center" textRotation="0" wrapText="1" indent="0" justifyLastLine="0" shrinkToFit="0" readingOrder="0"/>
      <border diagonalUp="0" diagonalDown="0">
        <left/>
        <right/>
        <top style="thin">
          <color auto="1"/>
        </top>
        <bottom/>
        <vertical/>
        <horizontal/>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9"/>
        <color theme="1"/>
        <name val="Microsoft Sans Serif"/>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auto="1"/>
        <name val="Microsoft Sans Serif"/>
        <family val="2"/>
        <scheme val="none"/>
      </font>
      <fill>
        <patternFill patternType="solid">
          <fgColor indexed="64"/>
          <bgColor rgb="FFA2DEDE"/>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indexed="8"/>
        <name val="Microsoft Sans Serif"/>
        <family val="2"/>
        <scheme val="none"/>
      </font>
      <numFmt numFmtId="167" formatCode="&quot;$&quot;#,##0"/>
      <fill>
        <patternFill patternType="solid">
          <fgColor indexed="64"/>
          <bgColor rgb="FFA2DEDE"/>
        </patternFill>
      </fill>
      <alignment horizontal="right" vertical="center" textRotation="0" wrapText="0" indent="0" justifyLastLine="0" shrinkToFit="0" readingOrder="0"/>
      <border diagonalUp="0" diagonalDown="0">
        <left style="thin">
          <color indexed="8"/>
        </left>
        <right/>
        <top style="thin">
          <color indexed="8"/>
        </top>
        <bottom/>
        <vertical/>
        <horizontal/>
      </border>
    </dxf>
    <dxf>
      <font>
        <b val="0"/>
        <i val="0"/>
        <strike val="0"/>
        <condense val="0"/>
        <extend val="0"/>
        <outline val="0"/>
        <shadow val="0"/>
        <u val="none"/>
        <vertAlign val="baseline"/>
        <sz val="9"/>
        <color theme="1"/>
        <name val="Microsoft Sans Serif"/>
        <family val="2"/>
        <scheme val="none"/>
      </font>
      <numFmt numFmtId="164" formatCode="&quot;$&quot;#,##0;\-&quot;$&quot;#,##0"/>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Microsoft Sans Serif"/>
        <family val="2"/>
        <scheme val="none"/>
      </font>
      <numFmt numFmtId="164" formatCode="&quot;$&quot;#,##0;\-&quot;$&quot;#,##0"/>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Microsoft Sans Serif"/>
        <family val="2"/>
        <scheme val="none"/>
      </font>
      <numFmt numFmtId="164" formatCode="&quot;$&quot;#,##0;\-&quot;$&quot;#,##0"/>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Microsoft Sans Serif"/>
        <family val="2"/>
        <scheme val="none"/>
      </font>
      <numFmt numFmtId="164" formatCode="&quot;$&quot;#,##0;\-&quot;$&quot;#,##0"/>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Microsoft Sans Serif"/>
        <family val="2"/>
        <scheme val="none"/>
      </font>
      <numFmt numFmtId="164" formatCode="&quot;$&quot;#,##0;\-&quot;$&quot;#,##0"/>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Microsoft Sans Serif"/>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9"/>
        <color theme="1"/>
        <name val="Microsoft Sans Serif"/>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dxf>
    <dxf>
      <border outline="0">
        <right style="thin">
          <color indexed="8"/>
        </right>
        <top style="thin">
          <color indexed="64"/>
        </top>
        <bottom style="thin">
          <color indexed="8"/>
        </bottom>
      </border>
    </dxf>
    <dxf>
      <font>
        <b val="0"/>
        <i val="0"/>
        <strike val="0"/>
        <condense val="0"/>
        <extend val="0"/>
        <outline val="0"/>
        <shadow val="0"/>
        <u val="none"/>
        <vertAlign val="baseline"/>
        <sz val="9"/>
        <color theme="1"/>
        <name val="Microsoft Sans Serif"/>
        <family val="2"/>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Microsoft Sans Serif"/>
        <family val="2"/>
        <scheme val="none"/>
      </font>
      <numFmt numFmtId="170" formatCode="&quot;Year &quot;#"/>
      <fill>
        <patternFill patternType="solid">
          <fgColor indexed="64"/>
          <bgColor rgb="FFA2DEDE"/>
        </patternFill>
      </fill>
      <alignment horizontal="center" vertical="center" textRotation="0" wrapText="0" indent="0" justifyLastLine="0" shrinkToFit="0" readingOrder="0"/>
    </dxf>
    <dxf>
      <fill>
        <patternFill>
          <bgColor theme="9" tint="0.39994506668294322"/>
        </patternFill>
      </fill>
    </dxf>
    <dxf>
      <fill>
        <patternFill>
          <bgColor rgb="FFFF8B8B"/>
        </patternFill>
      </fill>
    </dxf>
    <dxf>
      <fill>
        <patternFill>
          <bgColor theme="5" tint="0.39994506668294322"/>
        </patternFill>
      </fill>
    </dxf>
    <dxf>
      <fill>
        <patternFill>
          <bgColor theme="9" tint="0.39994506668294322"/>
        </patternFill>
      </fill>
    </dxf>
    <dxf>
      <fill>
        <patternFill>
          <bgColor rgb="FFFF8B8B"/>
        </patternFill>
      </fill>
    </dxf>
    <dxf>
      <fill>
        <patternFill>
          <bgColor theme="9" tint="0.39994506668294322"/>
        </patternFill>
      </fill>
    </dxf>
    <dxf>
      <fill>
        <patternFill>
          <bgColor rgb="FFFF7C80"/>
        </patternFill>
      </fill>
    </dxf>
    <dxf>
      <fill>
        <patternFill>
          <bgColor theme="9" tint="0.39994506668294322"/>
        </patternFill>
      </fill>
    </dxf>
    <dxf>
      <fill>
        <patternFill>
          <bgColor rgb="FFFF8B8B"/>
        </patternFill>
      </fill>
    </dxf>
    <dxf>
      <fill>
        <patternFill>
          <bgColor rgb="FFFF7C80"/>
        </patternFill>
      </fill>
    </dxf>
    <dxf>
      <fill>
        <patternFill>
          <bgColor theme="9" tint="0.39994506668294322"/>
        </patternFill>
      </fill>
    </dxf>
    <dxf>
      <fill>
        <patternFill>
          <bgColor rgb="FFFF7C80"/>
        </patternFill>
      </fill>
    </dxf>
    <dxf>
      <fill>
        <patternFill>
          <bgColor theme="9" tint="0.39994506668294322"/>
        </patternFill>
      </fill>
    </dxf>
    <dxf>
      <fill>
        <patternFill>
          <bgColor rgb="FFFF7C80"/>
        </patternFill>
      </fill>
    </dxf>
    <dxf>
      <fill>
        <patternFill>
          <bgColor theme="9" tint="0.39994506668294322"/>
        </patternFill>
      </fill>
    </dxf>
    <dxf>
      <fill>
        <patternFill>
          <bgColor rgb="FFFF7C80"/>
        </patternFill>
      </fill>
    </dxf>
    <dxf>
      <fill>
        <patternFill>
          <bgColor theme="9" tint="0.39994506668294322"/>
        </patternFill>
      </fill>
    </dxf>
    <dxf>
      <fill>
        <patternFill>
          <bgColor theme="9" tint="0.39994506668294322"/>
        </patternFill>
      </fill>
    </dxf>
    <dxf>
      <fill>
        <patternFill>
          <bgColor rgb="FFFF7C80"/>
        </patternFill>
      </fill>
    </dxf>
    <dxf>
      <fill>
        <patternFill>
          <bgColor rgb="FFFF7C80"/>
        </patternFill>
      </fill>
    </dxf>
    <dxf>
      <fill>
        <patternFill>
          <bgColor theme="9" tint="0.39994506668294322"/>
        </patternFill>
      </fill>
    </dxf>
    <dxf>
      <fill>
        <patternFill>
          <bgColor rgb="FFFF7C80"/>
        </patternFill>
      </fill>
    </dxf>
    <dxf>
      <fill>
        <patternFill>
          <bgColor theme="9" tint="0.39994506668294322"/>
        </patternFill>
      </fill>
    </dxf>
    <dxf>
      <fill>
        <patternFill>
          <bgColor theme="9" tint="0.39994506668294322"/>
        </patternFill>
      </fill>
    </dxf>
    <dxf>
      <fill>
        <patternFill>
          <bgColor rgb="FFFF7C80"/>
        </patternFill>
      </fill>
    </dxf>
    <dxf>
      <fill>
        <patternFill>
          <bgColor rgb="FFFF7C80"/>
        </patternFill>
      </fill>
    </dxf>
    <dxf>
      <fill>
        <patternFill>
          <bgColor theme="9" tint="0.39994506668294322"/>
        </patternFill>
      </fill>
    </dxf>
    <dxf>
      <fill>
        <patternFill>
          <bgColor theme="9" tint="0.39994506668294322"/>
        </patternFill>
      </fill>
    </dxf>
    <dxf>
      <fill>
        <patternFill>
          <bgColor rgb="FFFF7C80"/>
        </patternFill>
      </fill>
    </dxf>
    <dxf>
      <fill>
        <patternFill>
          <bgColor rgb="FFFF7C80"/>
        </patternFill>
      </fill>
    </dxf>
    <dxf>
      <fill>
        <patternFill>
          <bgColor theme="9" tint="0.39994506668294322"/>
        </patternFill>
      </fill>
    </dxf>
  </dxfs>
  <tableStyles count="0" defaultTableStyle="TableStyleMedium2" defaultPivotStyle="PivotStyleLight16"/>
  <colors>
    <mruColors>
      <color rgb="FFA2DEDE"/>
      <color rgb="FF32908E"/>
      <color rgb="FF00E683"/>
      <color rgb="FF002F1B"/>
      <color rgb="FF006C3E"/>
      <color rgb="FFFF5E30"/>
      <color rgb="FFCBA9FF"/>
      <color rgb="FFD6DCE4"/>
      <color rgb="FFEADBF5"/>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11</xdr:col>
      <xdr:colOff>476250</xdr:colOff>
      <xdr:row>1</xdr:row>
      <xdr:rowOff>47625</xdr:rowOff>
    </xdr:from>
    <xdr:to>
      <xdr:col>15</xdr:col>
      <xdr:colOff>314325</xdr:colOff>
      <xdr:row>1</xdr:row>
      <xdr:rowOff>504825</xdr:rowOff>
    </xdr:to>
    <xdr:pic>
      <xdr:nvPicPr>
        <xdr:cNvPr id="6" name="Picture 5" title="SAAFE CRC">
          <a:extLst>
            <a:ext uri="{FF2B5EF4-FFF2-40B4-BE49-F238E27FC236}">
              <a16:creationId xmlns:a16="http://schemas.microsoft.com/office/drawing/2014/main" id="{21907094-B185-D1AE-19F9-E4F2E609FE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81775" y="228600"/>
          <a:ext cx="2200275" cy="457200"/>
        </a:xfrm>
        <a:prstGeom prst="rect">
          <a:avLst/>
        </a:prstGeom>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el="http://schemas.microsoft.com/office/2019/extlst"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dtfl="http://schemas.microsoft.com/office/word/2024/wordml/sdtformatlock"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arto="http://schemas.microsoft.com/office/word/2006/arto" xmlns:lc="http://schemas.openxmlformats.org/drawingml/2006/lockedCanvas"/>
          </a:ext>
        </a:extLst>
      </xdr:spPr>
    </xdr:pic>
    <xdr:clientData/>
  </xdr:twoCellAnchor>
  <xdr:twoCellAnchor editAs="oneCell">
    <xdr:from>
      <xdr:col>2</xdr:col>
      <xdr:colOff>149254</xdr:colOff>
      <xdr:row>30</xdr:row>
      <xdr:rowOff>33530</xdr:rowOff>
    </xdr:from>
    <xdr:to>
      <xdr:col>18</xdr:col>
      <xdr:colOff>362808</xdr:colOff>
      <xdr:row>48</xdr:row>
      <xdr:rowOff>70489</xdr:rowOff>
    </xdr:to>
    <xdr:pic>
      <xdr:nvPicPr>
        <xdr:cNvPr id="2" name="Picture 1">
          <a:extLst>
            <a:ext uri="{FF2B5EF4-FFF2-40B4-BE49-F238E27FC236}">
              <a16:creationId xmlns:a16="http://schemas.microsoft.com/office/drawing/2014/main" id="{6A9D67DB-2127-9557-B054-78FB46C228A6}"/>
            </a:ext>
            <a:ext uri="{147F2762-F138-4A5C-976F-8EAC2B608ADB}">
              <a16:predDERef xmlns:a16="http://schemas.microsoft.com/office/drawing/2014/main" pred="{21907094-B185-D1AE-19F9-E4F2E609FE08}"/>
            </a:ext>
          </a:extLst>
        </xdr:cNvPr>
        <xdr:cNvPicPr>
          <a:picLocks noChangeAspect="1"/>
        </xdr:cNvPicPr>
      </xdr:nvPicPr>
      <xdr:blipFill>
        <a:blip xmlns:r="http://schemas.openxmlformats.org/officeDocument/2006/relationships" r:embed="rId2"/>
        <a:stretch>
          <a:fillRect/>
        </a:stretch>
      </xdr:blipFill>
      <xdr:spPr>
        <a:xfrm>
          <a:off x="1007362" y="11343395"/>
          <a:ext cx="10073216" cy="3563783"/>
        </a:xfrm>
        <a:prstGeom prst="rect">
          <a:avLst/>
        </a:prstGeom>
      </xdr:spPr>
    </xdr:pic>
    <xdr:clientData/>
  </xdr:twoCellAnchor>
  <xdr:twoCellAnchor editAs="oneCell">
    <xdr:from>
      <xdr:col>2</xdr:col>
      <xdr:colOff>35615</xdr:colOff>
      <xdr:row>59</xdr:row>
      <xdr:rowOff>214341</xdr:rowOff>
    </xdr:from>
    <xdr:to>
      <xdr:col>19</xdr:col>
      <xdr:colOff>114685</xdr:colOff>
      <xdr:row>60</xdr:row>
      <xdr:rowOff>89950</xdr:rowOff>
    </xdr:to>
    <xdr:pic>
      <xdr:nvPicPr>
        <xdr:cNvPr id="3" name="Picture 2">
          <a:extLst>
            <a:ext uri="{FF2B5EF4-FFF2-40B4-BE49-F238E27FC236}">
              <a16:creationId xmlns:a16="http://schemas.microsoft.com/office/drawing/2014/main" id="{5D1F55B1-9A44-6200-5BF9-9A440B51DB44}"/>
            </a:ext>
            <a:ext uri="{147F2762-F138-4A5C-976F-8EAC2B608ADB}">
              <a16:predDERef xmlns:a16="http://schemas.microsoft.com/office/drawing/2014/main" pred="{6A9D67DB-2127-9557-B054-78FB46C228A6}"/>
            </a:ext>
          </a:extLst>
        </xdr:cNvPr>
        <xdr:cNvPicPr>
          <a:picLocks noChangeAspect="1"/>
        </xdr:cNvPicPr>
      </xdr:nvPicPr>
      <xdr:blipFill>
        <a:blip xmlns:r="http://schemas.openxmlformats.org/officeDocument/2006/relationships" r:embed="rId3"/>
        <a:stretch>
          <a:fillRect/>
        </a:stretch>
      </xdr:blipFill>
      <xdr:spPr>
        <a:xfrm>
          <a:off x="854765" y="17787966"/>
          <a:ext cx="10089845" cy="523309"/>
        </a:xfrm>
        <a:prstGeom prst="rect">
          <a:avLst/>
        </a:prstGeom>
      </xdr:spPr>
    </xdr:pic>
    <xdr:clientData/>
  </xdr:twoCellAnchor>
  <xdr:twoCellAnchor editAs="oneCell">
    <xdr:from>
      <xdr:col>1</xdr:col>
      <xdr:colOff>67909</xdr:colOff>
      <xdr:row>76</xdr:row>
      <xdr:rowOff>322645</xdr:rowOff>
    </xdr:from>
    <xdr:to>
      <xdr:col>20</xdr:col>
      <xdr:colOff>62201</xdr:colOff>
      <xdr:row>78</xdr:row>
      <xdr:rowOff>543529</xdr:rowOff>
    </xdr:to>
    <xdr:pic>
      <xdr:nvPicPr>
        <xdr:cNvPr id="4" name="Picture 3">
          <a:extLst>
            <a:ext uri="{FF2B5EF4-FFF2-40B4-BE49-F238E27FC236}">
              <a16:creationId xmlns:a16="http://schemas.microsoft.com/office/drawing/2014/main" id="{EC1D7FC2-636C-D10C-479B-70E9ED0AA6A4}"/>
            </a:ext>
            <a:ext uri="{147F2762-F138-4A5C-976F-8EAC2B608ADB}">
              <a16:predDERef xmlns:a16="http://schemas.microsoft.com/office/drawing/2014/main" pred="{5D1F55B1-9A44-6200-5BF9-9A440B51DB4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85747" y="23397172"/>
          <a:ext cx="10883684" cy="1559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391432</xdr:colOff>
      <xdr:row>1</xdr:row>
      <xdr:rowOff>0</xdr:rowOff>
    </xdr:from>
    <xdr:to>
      <xdr:col>8</xdr:col>
      <xdr:colOff>341086</xdr:colOff>
      <xdr:row>4</xdr:row>
      <xdr:rowOff>0</xdr:rowOff>
    </xdr:to>
    <xdr:sp macro="[0]!CopyBudgetData" textlink="">
      <xdr:nvSpPr>
        <xdr:cNvPr id="2" name="Rectangle 1">
          <a:extLst>
            <a:ext uri="{FF2B5EF4-FFF2-40B4-BE49-F238E27FC236}">
              <a16:creationId xmlns:a16="http://schemas.microsoft.com/office/drawing/2014/main" id="{76CA5565-1FCD-617C-E249-F002F46F835E}"/>
            </a:ext>
          </a:extLst>
        </xdr:cNvPr>
        <xdr:cNvSpPr/>
      </xdr:nvSpPr>
      <xdr:spPr>
        <a:xfrm>
          <a:off x="9086850" y="190500"/>
          <a:ext cx="1038225" cy="571500"/>
        </a:xfrm>
        <a:prstGeom prst="rect">
          <a:avLst/>
        </a:prstGeom>
        <a:solidFill>
          <a:srgbClr val="D6DCE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b="1">
              <a:solidFill>
                <a:sysClr val="windowText" lastClr="000000"/>
              </a:solidFill>
            </a:rPr>
            <a:t>Regenerate Cash Summary</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AE9282B-D400-44D5-BBF7-3D107C4719D5}" name="Table10" displayName="Table10" ref="B26:I41" totalsRowShown="0" headerRowDxfId="154" dataDxfId="153" tableBorderDxfId="152" dataCellStyle="Currency">
  <autoFilter ref="B26:I41" xr:uid="{7AE9282B-D400-44D5-BBF7-3D107C4719D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CB09D52-E017-4358-9800-21CCF188CE33}" name="Partner" dataDxfId="151"/>
    <tableColumn id="2" xr3:uid="{811ADA0E-5842-4AF8-958A-0F321C1AB736}" name="Description" dataDxfId="150"/>
    <tableColumn id="3" xr3:uid="{7AA16208-0163-4F44-BF56-1355F7A3EC2E}" name="Project Year 1" dataDxfId="149" dataCellStyle="Currency"/>
    <tableColumn id="4" xr3:uid="{F7417936-7F45-44A8-B323-506FE6559473}" name="Project Year 2" dataDxfId="148" dataCellStyle="Currency"/>
    <tableColumn id="5" xr3:uid="{ACCDC61F-5ABC-41B0-840F-90C4EE256BE8}" name="Project Year 3" dataDxfId="147" dataCellStyle="Currency"/>
    <tableColumn id="6" xr3:uid="{E9D97612-3E95-434F-9206-7F13E75472A2}" name="Project Year 4" dataDxfId="146" dataCellStyle="Currency"/>
    <tableColumn id="7" xr3:uid="{DEE459D3-B15F-4519-9E4C-5F558814A133}" name="Project Year 5" dataDxfId="145" dataCellStyle="Currency"/>
    <tableColumn id="8" xr3:uid="{F0ACA8D4-91E2-44C7-87D8-3A676824C200}" name="Total  [AU$]" dataDxfId="144">
      <calculatedColumnFormula>SUM(D27:H27)</calculatedColumnFormula>
    </tableColumn>
  </tableColumns>
  <tableStyleInfo name="TableStyleMedium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83852CF-3F00-4E24-99EE-4FD507DA722D}" name="Table79" displayName="Table79" ref="AW3:BN9" totalsRowShown="0" headerRowDxfId="36" tableBorderDxfId="35">
  <autoFilter ref="AW3:BN9" xr:uid="{A83852CF-3F00-4E24-99EE-4FD507DA722D}"/>
  <tableColumns count="18">
    <tableColumn id="1" xr3:uid="{24F89C7C-88A0-4696-B345-DD8529EE01E7}" name="Partner" dataDxfId="34">
      <calculatedColumnFormula>'In-Kind Contributions'!B14</calculatedColumnFormula>
    </tableColumn>
    <tableColumn id="2" xr3:uid="{2535CF2D-0D19-4F66-BB37-375C4EB67FBA}" name="Person" dataDxfId="33">
      <calculatedColumnFormula>'In-Kind Contributions'!C14</calculatedColumnFormula>
    </tableColumn>
    <tableColumn id="3" xr3:uid="{0AD7B00D-B51A-4891-B461-735E6FB1635E}" name="Project Role" dataDxfId="32">
      <calculatedColumnFormula>'In-Kind Contributions'!D14</calculatedColumnFormula>
    </tableColumn>
    <tableColumn id="4" xr3:uid="{65947565-F13F-4EAE-BC3C-DC56034F0120}" name="Staff Category" dataDxfId="31">
      <calculatedColumnFormula>'In-Kind Contributions'!#REF!</calculatedColumnFormula>
    </tableColumn>
    <tableColumn id="5" xr3:uid="{D8808D19-7252-4D34-90BD-BE8C7C54C745}" name="Required Band Level" dataDxfId="30">
      <calculatedColumnFormula>'In-Kind Contributions'!#REF!</calculatedColumnFormula>
    </tableColumn>
    <tableColumn id="6" xr3:uid="{DC0BD7BE-9D71-4655-B20E-BB2C077DC657}" name="Proposed Annual Salary (1 FTE)" dataDxfId="29">
      <calculatedColumnFormula>'In-Kind Contributions'!#REF!</calculatedColumnFormula>
    </tableColumn>
    <tableColumn id="7" xr3:uid="{700EC2A8-82C2-4A0B-B5B5-3D3B6D71721F}" name="Year 1 (No Pay Rise)" dataDxfId="28">
      <calculatedColumnFormula>BB4</calculatedColumnFormula>
    </tableColumn>
    <tableColumn id="8" xr3:uid="{54DC6755-1ED1-4B5F-8A5A-B009BEE0CEF3}" name="With Pay Rise Year 2" dataDxfId="27">
      <calculatedColumnFormula>IFERROR(ROUND(SUM(Table79[[#This Row],[Proposed Annual Salary (1 FTE)]]*(1+$BD$1)),0),"")</calculatedColumnFormula>
    </tableColumn>
    <tableColumn id="9" xr3:uid="{2370247D-50A2-4E98-AAAB-D4912EE4B06C}" name="With Pay Rise Year 3" dataDxfId="26">
      <calculatedColumnFormula>IFERROR(ROUND(SUM(Table79[[#This Row],[Proposed Annual Salary (1 FTE)]]*(1+$BD$1)^2),0),"")</calculatedColumnFormula>
    </tableColumn>
    <tableColumn id="10" xr3:uid="{C9D1D4A1-DB67-47F8-B6FB-596809701E02}" name="With Pay Rise Year 4" dataDxfId="25">
      <calculatedColumnFormula>IFERROR(ROUND(SUM(Table79[[#This Row],[Proposed Annual Salary (1 FTE)]]*(1+$BD$1)^3),0),"")</calculatedColumnFormula>
    </tableColumn>
    <tableColumn id="11" xr3:uid="{B75EC542-6EDD-4997-B1CB-A5F57AE8BD6E}" name="With Pay Rise Year 5" dataDxfId="24">
      <calculatedColumnFormula>IFERROR(ROUND(SUM(Table79[[#This Row],[Proposed Annual Salary (1 FTE)]]*(1+$BD$1)^4),0),"")</calculatedColumnFormula>
    </tableColumn>
    <tableColumn id="17" xr3:uid="{533571DF-5909-46C5-AD19-977E3FFC9236}" name="With Pay Rise Year 6" dataDxfId="23">
      <calculatedColumnFormula>IFERROR(ROUND(SUM(Table79[[#This Row],[Proposed Annual Salary (1 FTE)]]*(1+$BD$1)^5),0),"")</calculatedColumnFormula>
    </tableColumn>
    <tableColumn id="12" xr3:uid="{0901BAF4-CAB4-4E0E-A723-69A854BA4A63}" name="With On-cost if starting Year 1" dataDxfId="22">
      <calculatedColumnFormula>IFERROR(ROUND(SUM(Table79[[#This Row],[Year 1 (No Pay Rise)]]*(1+$BJ$1)),0),"")</calculatedColumnFormula>
    </tableColumn>
    <tableColumn id="13" xr3:uid="{BF118EC1-4D1F-4699-AC85-E82B0A879043}" name="With On-cost if starting Year 2" dataDxfId="21">
      <calculatedColumnFormula>IFERROR(ROUND(SUM(Table79[[#This Row],[With Pay Rise Year 2]]*(1+$BJ$1)),0),"")</calculatedColumnFormula>
    </tableColumn>
    <tableColumn id="14" xr3:uid="{4DF0162F-6FA5-490C-81D9-C5A0038AEC25}" name="With On-cost if starting Year 3" dataDxfId="20">
      <calculatedColumnFormula>IFERROR(ROUND(SUM(Table79[[#This Row],[With Pay Rise Year 3]]*(1+$BJ$1)),0),"")</calculatedColumnFormula>
    </tableColumn>
    <tableColumn id="15" xr3:uid="{C40421ED-C5DE-4FA7-A9FC-2A766C7555B1}" name="With On-cost if starting Year 4" dataDxfId="19">
      <calculatedColumnFormula>IFERROR(ROUND(SUM(Table79[[#This Row],[With Pay Rise Year 4]]*(1+$BJ$1)),0),"")</calculatedColumnFormula>
    </tableColumn>
    <tableColumn id="16" xr3:uid="{75E4D733-FB56-4230-B6FF-6B6B22280302}" name="With On-cost if starting Year 5" dataDxfId="18">
      <calculatedColumnFormula>IFERROR(ROUND(SUM(Table79[[#This Row],[With Pay Rise Year 5]]*(1+$BJ$1)),0),"")</calculatedColumnFormula>
    </tableColumn>
    <tableColumn id="18" xr3:uid="{A2A309F9-74FB-438B-AB68-F89617087FDD}" name="With On-cost if starting Year 6" dataDxfId="17">
      <calculatedColumnFormula>IFERROR(ROUND(SUM(Table79[[#This Row],[With Pay Rise Year 6]]*(1+$BJ$1)),0),"")</calculatedColumnFormula>
    </tableColumn>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682E866-C56E-45D1-B582-7E4CEFEA39E6}" name="Table7912" displayName="Table7912" ref="BP3:CD9" totalsRowShown="0" headerRowDxfId="16" tableBorderDxfId="15">
  <autoFilter ref="BP3:CD9" xr:uid="{F682E866-C56E-45D1-B582-7E4CEFEA39E6}"/>
  <tableColumns count="15">
    <tableColumn id="1" xr3:uid="{A687AA37-67F5-4F53-B838-77822B4ADB98}" name="University" dataDxfId="14">
      <calculatedColumnFormula>'Cash Budget - Projects'!#REF!</calculatedColumnFormula>
    </tableColumn>
    <tableColumn id="2" xr3:uid="{47E75EF8-F343-4A32-B6FD-46C2FA3E49C5}" name="Person" dataDxfId="13">
      <calculatedColumnFormula>'Cash Budget - Projects'!#REF!</calculatedColumnFormula>
    </tableColumn>
    <tableColumn id="6" xr3:uid="{3C16A7CC-BD60-41DC-9225-F28815BE2C22}" name="Annual Stipend" dataDxfId="12">
      <calculatedColumnFormula>'Cash Budget - Projects'!#REF!</calculatedColumnFormula>
    </tableColumn>
    <tableColumn id="7" xr3:uid="{46A256D1-CE56-4F2B-9F53-2357CEB98505}" name="Year 1 (No Pay Rise)" dataDxfId="11">
      <calculatedColumnFormula>BR4</calculatedColumnFormula>
    </tableColumn>
    <tableColumn id="8" xr3:uid="{BE9610C2-8ED0-4D69-BF46-3A2EB8DF5020}" name="With Pay Rise Year 2" dataDxfId="10">
      <calculatedColumnFormula>IFERROR(ROUND(SUM(Table7912[[#This Row],[Annual Stipend]]*(1+$BT$1)),0),"")</calculatedColumnFormula>
    </tableColumn>
    <tableColumn id="9" xr3:uid="{A0BF3C48-4200-4049-BD9E-F01EF43681F3}" name="With Pay Rise Year 3" dataDxfId="9">
      <calculatedColumnFormula>IFERROR(ROUND(SUM(Table7912[[#This Row],[Annual Stipend]]*(1+$BT$1)^2),0),"")</calculatedColumnFormula>
    </tableColumn>
    <tableColumn id="10" xr3:uid="{AF7ED29C-191B-4445-9C2E-F388D861D415}" name="With Pay Rise Year 4" dataDxfId="8">
      <calculatedColumnFormula>IFERROR(ROUND(SUM(Table7912[[#This Row],[Annual Stipend]]*(1+$BT$1)^3),0),"")</calculatedColumnFormula>
    </tableColumn>
    <tableColumn id="11" xr3:uid="{F0B450EB-0A58-42B4-A759-CC9315D39FC1}" name="With Pay Rise Year 5" dataDxfId="7">
      <calculatedColumnFormula>IFERROR(ROUND(SUM(Table7912[[#This Row],[Annual Stipend]]*(1+$BT$1)^4),0),"")</calculatedColumnFormula>
    </tableColumn>
    <tableColumn id="17" xr3:uid="{083E7568-DFFC-4E03-9DE0-91F816D3EEF3}" name="With Pay Rise Year 6" dataDxfId="6">
      <calculatedColumnFormula>IFERROR(ROUND(SUM(Table7912[[#This Row],[Annual Stipend]]*(1+$BT$1)^5),0),"")</calculatedColumnFormula>
    </tableColumn>
    <tableColumn id="12" xr3:uid="{4CB80DBC-C0AD-4F21-ADB9-2D9060EAEA91}" name="With On-cost if starting Year 1" dataDxfId="5">
      <calculatedColumnFormula>IFERROR(ROUND(SUM(Table7912[[#This Row],[Year 1 (No Pay Rise)]]*(1+$BZ$1)),0),"")</calculatedColumnFormula>
    </tableColumn>
    <tableColumn id="13" xr3:uid="{151B4FAC-3C2F-4B21-AEAB-BD633BEACA5C}" name="With On-cost if starting Year 2" dataDxfId="4">
      <calculatedColumnFormula>IFERROR(ROUND(SUM(Table7912[[#This Row],[With Pay Rise Year 2]]*(1+$BZ$1)),0),"")</calculatedColumnFormula>
    </tableColumn>
    <tableColumn id="14" xr3:uid="{D6ED7746-833E-4CB3-B0A3-1EA1415D74CB}" name="With On-cost if starting Year 3" dataDxfId="3">
      <calculatedColumnFormula>IFERROR(ROUND(SUM(Table7912[[#This Row],[With Pay Rise Year 3]]*(1+$BZ$1)),0),"")</calculatedColumnFormula>
    </tableColumn>
    <tableColumn id="15" xr3:uid="{C1054922-946B-4E49-92E6-7FB968EA15EB}" name="With On-cost if starting Year 4" dataDxfId="2">
      <calculatedColumnFormula>IFERROR(ROUND(SUM(Table7912[[#This Row],[With Pay Rise Year 4]]*(1+$BZ$1)),0),"")</calculatedColumnFormula>
    </tableColumn>
    <tableColumn id="16" xr3:uid="{B38D3BB4-FB17-4F12-AB40-EB842BD09952}" name="With On-cost if starting Year 5" dataDxfId="1">
      <calculatedColumnFormula>IFERROR(ROUND(SUM(Table7912[[#This Row],[With Pay Rise Year 5]]*(1+$BZ$1)),0),"")</calculatedColumnFormula>
    </tableColumn>
    <tableColumn id="18" xr3:uid="{426BF9BE-0EE5-4AF1-803A-27A260C9F1EE}" name="With On-cost if starting Year 6" dataDxfId="0">
      <calculatedColumnFormula>IFERROR(ROUND(SUM(Table7912[[#This Row],[With Pay Rise Year 6]]*(1+$BZ$1)),0),"")</calculatedColumnFormula>
    </tableColumn>
  </tableColumns>
  <tableStyleInfo name="TableStyleMedium1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D540ED4-C26D-4AC3-B016-B47CA3AFA9D8}" name="Table9" displayName="Table9" ref="CF1:CF3" totalsRowShown="0">
  <autoFilter ref="CF1:CF3" xr:uid="{5D540ED4-C26D-4AC3-B016-B47CA3AFA9D8}"/>
  <tableColumns count="1">
    <tableColumn id="1" xr3:uid="{E8C3162A-FD21-4E3C-AD59-D827335CDB87}" name="Row Inser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F5A832B-3059-4A85-85F2-9CF6E85FE6C2}" name="Table12" displayName="Table12" ref="B13:P20" totalsRowShown="0" headerRowDxfId="143" dataDxfId="142" tableBorderDxfId="141">
  <autoFilter ref="B13:P20" xr:uid="{CF5A832B-3059-4A85-85F2-9CF6E85FE6C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BF6A249C-9BFE-40A5-80FC-8A5D6142F6B1}" name="Partner" dataDxfId="140"/>
    <tableColumn id="2" xr3:uid="{215DF199-5A8B-4E92-8928-665BEB80607C}" name="Person" dataDxfId="139"/>
    <tableColumn id="3" xr3:uid="{B5203F24-7FCD-4FF4-895F-023D5AE541D0}" name="Project Role" dataDxfId="138"/>
    <tableColumn id="4" xr3:uid="{5534372B-B79D-4EEA-B7CA-A601171D0EC0}" name="FTE on Project" dataDxfId="137"/>
    <tableColumn id="5" xr3:uid="{8F67EA8D-A8D8-4DB6-A43D-52B8F537D7A8}" name="Proposed Salary (Including maximum 30% on-costs)" dataDxfId="136"/>
    <tableColumn id="6" xr3:uid="{AEC7DADA-4931-4306-B7F1-99796CAE5BAC}" name="FTE on Project " dataDxfId="135"/>
    <tableColumn id="7" xr3:uid="{649337C4-1708-4946-8177-D3D09683FEE9}" name="Proposed Salary (Including maximum 30% on-costs) " dataDxfId="134"/>
    <tableColumn id="8" xr3:uid="{A3DF6451-C6D8-480A-BB9E-584598DAE119}" name="FTE on Project  " dataDxfId="133"/>
    <tableColumn id="9" xr3:uid="{7DA39FDA-D97D-4DA8-B697-C7D4CCFDCD84}" name="Proposed Salary (Including maximum 30% on-costs)  " dataDxfId="132"/>
    <tableColumn id="10" xr3:uid="{571EBC2C-E9D0-4AEF-AE0E-79785AA0C013}" name="FTE on Project   " dataDxfId="131"/>
    <tableColumn id="11" xr3:uid="{E0823174-4C27-4389-A78A-D0540222D3EB}" name="Proposed Salary (Including maximum 30% on-costs)   " dataDxfId="130"/>
    <tableColumn id="12" xr3:uid="{44FEBE30-333D-47CB-B309-1019C0F86061}" name="FTE on Project    " dataDxfId="129"/>
    <tableColumn id="13" xr3:uid="{8FF586B2-2EA5-4DAE-96C9-3DA4D0F3A1B8}" name="Proposed Salary (Including maximum 30% on-costs)    " dataDxfId="128"/>
    <tableColumn id="14" xr3:uid="{FEC09C4D-F3C7-4205-B255-17CF80769FEF}" name="Total FTE on Project" dataDxfId="127">
      <calculatedColumnFormula>M14+K14+I14+G14+E14</calculatedColumnFormula>
    </tableColumn>
    <tableColumn id="15" xr3:uid="{20D86270-A512-48F6-9518-8370CC15A665}" name="Total Staff Salary" dataDxfId="126">
      <calculatedColumnFormula>N14+L14+J14+H14+F14</calculatedColumnFormula>
    </tableColumn>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60B928D-76F5-4EAF-8A1E-06E9949F922D}" name="Table13" displayName="Table13" ref="B13:P27" totalsRowShown="0" headerRowDxfId="104" tableBorderDxfId="103">
  <autoFilter ref="B13:P27" xr:uid="{560B928D-76F5-4EAF-8A1E-06E9949F922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AB235A42-EA24-453A-931A-F55D2C607CAF}" name="Partner" dataDxfId="102"/>
    <tableColumn id="2" xr3:uid="{935AB4E0-83D4-48B9-AC89-21EF1A681C4D}" name="Person" dataDxfId="101"/>
    <tableColumn id="3" xr3:uid="{03F21437-485E-4242-845D-2E92016CA26F}" name="Project Role" dataDxfId="100"/>
    <tableColumn id="4" xr3:uid="{088C3101-208A-4B81-A900-E14A50C32BDC}" name="FTE on Project" dataDxfId="99"/>
    <tableColumn id="5" xr3:uid="{68CC097F-7E45-4341-83CA-BCF30DC951AA}" name="Salary with 2.5% pay rise (&amp; 30% loading)" dataDxfId="98"/>
    <tableColumn id="6" xr3:uid="{0D656FE8-14E6-4819-94B2-90363554FDF7}" name="FTE on Project " dataDxfId="97"/>
    <tableColumn id="7" xr3:uid="{28EF043F-695C-48D2-8C6E-DECDBC452A45}" name="Salary with 2.5% pay rise (&amp; 30% loading) " dataDxfId="96"/>
    <tableColumn id="8" xr3:uid="{0FE2F454-D52E-48BD-95A8-598FC71A4C89}" name="FTE on Project  " dataDxfId="95"/>
    <tableColumn id="9" xr3:uid="{94FE461F-451A-45E9-991F-BFE173327DCE}" name="Salary with 2.5% pay rise (&amp; 30% loading)  " dataDxfId="94"/>
    <tableColumn id="10" xr3:uid="{1AAE0D05-4EC0-4AA0-BBF4-A36D8572A846}" name="FTE on Project   " dataDxfId="93"/>
    <tableColumn id="11" xr3:uid="{F247979B-E89D-4B8A-BF27-97F2C499FB4E}" name="Salary with 2.5% pay rise (&amp; 30% loading)   " dataDxfId="92"/>
    <tableColumn id="12" xr3:uid="{996C3BCC-A8F4-4A60-BC1A-0417BC3B2393}" name="FTE on Project    " dataDxfId="91"/>
    <tableColumn id="13" xr3:uid="{5BFC7A53-4A3C-43BC-AA29-5F53C2F2BA67}" name="Salary with 2.5% pay rise (&amp; 30% loading)    " dataDxfId="90"/>
    <tableColumn id="14" xr3:uid="{72AEB469-478F-4E73-9322-4B5741FF620E}" name="Total FTE" dataDxfId="89">
      <calculatedColumnFormula>SUM($E14,$G14,$I14,$K14,$M14)</calculatedColumnFormula>
    </tableColumn>
    <tableColumn id="15" xr3:uid="{43D8D861-EC47-4270-99B9-2A5640A96F3B}" name="Total Staff Salary" dataDxfId="88">
      <calculatedColumnFormula>SUM($F14,$H14,$J14,$L14,$N14)</calculatedColumnFormula>
    </tableColumn>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7D51AA3-B2F8-4D33-84CF-90CF0535D9FE}" name="Table15" displayName="Table15" ref="B44:I64" totalsRowShown="0" headerRowDxfId="87" dataDxfId="86" tableBorderDxfId="85">
  <autoFilter ref="B44:I64" xr:uid="{07D51AA3-B2F8-4D33-84CF-90CF0535D9F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DACDCA0-A80A-4BFE-8EB5-13B269600100}" name="Partner" dataDxfId="84"/>
    <tableColumn id="2" xr3:uid="{B9CCF90F-0894-406F-8068-6F07037EA6E1}" name="Description" dataDxfId="83"/>
    <tableColumn id="3" xr3:uid="{D7A2954D-1199-4562-81B9-75FC58D4DCBD}" name="Project Year 1" dataDxfId="82"/>
    <tableColumn id="4" xr3:uid="{AF60DA2B-F2F4-4CA3-8535-5414209331E5}" name="Project Year 2" dataDxfId="81"/>
    <tableColumn id="5" xr3:uid="{1825B52B-B34D-40AC-AF75-4E4A000CD1E0}" name="Project Year 3" dataDxfId="80"/>
    <tableColumn id="6" xr3:uid="{E4B7ACFF-B6BF-4B7B-B46A-89558D83ADE2}" name="Project  Year 4" dataDxfId="79"/>
    <tableColumn id="7" xr3:uid="{38FA1ED6-5C71-4955-960B-0C1E7538BEF2}" name="Project  Year 5" dataDxfId="78"/>
    <tableColumn id="8" xr3:uid="{9AF8AF11-63EF-4D78-95F3-0FEFDABC0AA4}" name="Total  [AU$]" dataDxfId="77">
      <calculatedColumnFormula>SUM($D45:$E45)</calculatedColumnFormula>
    </tableColumn>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9E879F-5B34-4E19-8A62-BDCF0418DCC4}" name="Table3" displayName="Table3" ref="A3:F46" totalsRowShown="0">
  <autoFilter ref="A3:F46" xr:uid="{CA9E879F-5B34-4E19-8A62-BDCF0418DCC4}"/>
  <tableColumns count="6">
    <tableColumn id="2" xr3:uid="{562B0D72-31A6-4258-8DA4-AE45C86A517B}" name="Academic Staff Salary Scale"/>
    <tableColumn id="3" xr3:uid="{371ACD19-EF6A-4D34-A798-FA7AE83DFBF4}" name="Academic Staff Annual Salary" dataDxfId="76"/>
    <tableColumn id="1" xr3:uid="{35CF63CE-2107-432C-BAB3-6A5B2BCF3A80}" name="Research Staff Salary Scale"/>
    <tableColumn id="4" xr3:uid="{8E161056-3EFC-4B11-832A-ECBABEF0776C}" name="Research Staff Annual Salary" dataDxfId="75" dataCellStyle="Currency"/>
    <tableColumn id="5" xr3:uid="{68531AA6-DBB1-41E9-B3E5-DAF036A29D5B}" name="Professional Staff Salary Scale"/>
    <tableColumn id="6" xr3:uid="{0DD68EE9-F5DA-4FD7-AD05-6F9D8966062C}" name="Professional Staff Annual Salary" dataDxfId="74" dataCellStyle="Currency"/>
  </tableColumns>
  <tableStyleInfo name="TableStyleMedium2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AB9FFB-AA76-4B5F-913F-BF61FAB9DECD}" name="Staff_Category" displayName="Staff_Category" ref="H3:H7" totalsRowShown="0">
  <autoFilter ref="H3:H7" xr:uid="{46AB9FFB-AA76-4B5F-913F-BF61FAB9DECD}"/>
  <tableColumns count="1">
    <tableColumn id="1" xr3:uid="{C9104945-39DD-4115-9B81-8E097D48A3E1}" name="Staff Category"/>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F40CE4C-9E40-44ED-8DD4-2932F87CE0A6}" name="Staff_Levels" displayName="Staff_Levels" ref="J3:M18" totalsRowShown="0" headerRowDxfId="73" dataDxfId="72">
  <autoFilter ref="J3:M18" xr:uid="{4F40CE4C-9E40-44ED-8DD4-2932F87CE0A6}"/>
  <tableColumns count="4">
    <tableColumn id="1" xr3:uid="{4E99B49F-0498-456D-BCBE-4EC263B5731B}" name="Academic Staff" dataDxfId="71"/>
    <tableColumn id="2" xr3:uid="{731AECA6-6C35-4890-A066-D7AF2FDFA052}" name="Research Staff" dataDxfId="70"/>
    <tableColumn id="3" xr3:uid="{DEEA3810-CB65-487C-A4C0-19890B1723A1}" name="Professional Staff" dataDxfId="69"/>
    <tableColumn id="4" xr3:uid="{910E7661-4AB8-4C48-AB73-2C59A92940DE}" name="Other Staff" dataDxfId="68"/>
  </tableColumns>
  <tableStyleInfo name="TableStyleLight2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EA00786-6CC2-4451-BD84-632B1858AFC2}" name="Staff_min_max" displayName="Staff_min_max" ref="O3:AB39" totalsRowShown="0" headerRowDxfId="67" dataDxfId="66">
  <autoFilter ref="O3:AB39" xr:uid="{3EA00786-6CC2-4451-BD84-632B1858AFC2}"/>
  <tableColumns count="14">
    <tableColumn id="1" xr3:uid="{040F20C4-E72B-4C07-8992-159482751EC4}" name="Staff" dataDxfId="65"/>
    <tableColumn id="2" xr3:uid="{14764681-9073-4E5A-A492-382D2AAAAE98}" name="Min (-10%)" dataDxfId="64" dataCellStyle="Currency"/>
    <tableColumn id="4" xr3:uid="{B900923E-9D1A-4F03-9085-6449A798E614}" name="75th percentile" dataDxfId="63" dataCellStyle="Currency">
      <calculatedColumnFormula>Staff_min_max[[#This Row],[Min (-10%)]]+(3*((Staff_min_max[[#This Row],[Max (+ 10%)]]-Staff_min_max[[#This Row],[Min (-10%)]])/4))</calculatedColumnFormula>
    </tableColumn>
    <tableColumn id="3" xr3:uid="{59511347-9B61-4E64-8682-DE06C2A1D511}" name="Max (+ 10%)" dataDxfId="62" dataCellStyle="Currency"/>
    <tableColumn id="5" xr3:uid="{295496C4-C2A0-4B27-844B-87FCCFC19E09}" name="Year 1 (No Pay Rise)" dataDxfId="61">
      <calculatedColumnFormula>Staff_min_max[[#This Row],[Max (+ 10%)]]</calculatedColumnFormula>
    </tableColumn>
    <tableColumn id="6" xr3:uid="{C63F98C3-6D3D-4010-9375-07048AEB398E}" name="With Pay Rise Year 2" dataDxfId="60">
      <calculatedColumnFormula>ROUND((Staff_min_max[[#This Row],[Max (+ 10%)]]*(1+$T$1)^1),0)</calculatedColumnFormula>
    </tableColumn>
    <tableColumn id="7" xr3:uid="{FA44B031-6E53-4DD2-9469-8C2F423D3AC3}" name="With Pay Rise Year 3" dataDxfId="59">
      <calculatedColumnFormula>ROUND((Staff_min_max[[#This Row],[Year 1 (No Pay Rise)]]*(1+$T$1)^2),0)</calculatedColumnFormula>
    </tableColumn>
    <tableColumn id="8" xr3:uid="{B4E6FFAB-F534-4F22-B9A2-6745212C62BD}" name="With Pay Rise Year 4" dataDxfId="58">
      <calculatedColumnFormula>ROUND((Staff_min_max[[#This Row],[Year 1 (No Pay Rise)]]*(1+$T$1)^3),0)</calculatedColumnFormula>
    </tableColumn>
    <tableColumn id="9" xr3:uid="{496E69DE-9B8A-47A6-9704-B4BF795D053C}" name="With Pay Rise Year 5" dataDxfId="57">
      <calculatedColumnFormula>ROUND((Staff_min_max[[#This Row],[Year 1 (No Pay Rise)]]*(1+$T$1)^4),0)</calculatedColumnFormula>
    </tableColumn>
    <tableColumn id="10" xr3:uid="{A950A2B4-A46C-42DC-A6A2-45BE95E71897}" name="With On-cost if starting Year 1" dataDxfId="56">
      <calculatedColumnFormula>ROUND(SUM(Staff_min_max[[#This Row],[Year 1 (No Pay Rise)]]*(1+$Y$1)),0)</calculatedColumnFormula>
    </tableColumn>
    <tableColumn id="11" xr3:uid="{35013A25-5BAA-465B-AF91-28BA6718FB05}" name="With On-cost if starting Year 2" dataDxfId="55">
      <calculatedColumnFormula>ROUND(SUM(Staff_min_max[[#This Row],[With Pay Rise Year 2]]*(1+$Y$1)),0)</calculatedColumnFormula>
    </tableColumn>
    <tableColumn id="12" xr3:uid="{8FF42B5A-96A2-4902-9361-49A44492D4DD}" name="With On-cost if starting Year 3" dataDxfId="54">
      <calculatedColumnFormula>ROUND(SUM(Staff_min_max[[#This Row],[With Pay Rise Year 3]]*(1+$Y$1)),0)</calculatedColumnFormula>
    </tableColumn>
    <tableColumn id="13" xr3:uid="{4EB94847-BE5D-4B93-98B5-51C8A6EE9AD5}" name="With On-cost if starting Year 4" dataDxfId="53">
      <calculatedColumnFormula>ROUND(SUM(Staff_min_max[[#This Row],[With Pay Rise Year 4]]*(1+$Y$1)),0)</calculatedColumnFormula>
    </tableColumn>
    <tableColumn id="14" xr3:uid="{8783E684-32C9-40B8-AC11-9324B61B38E7}" name="With On-cost if starting Year 5" dataDxfId="52">
      <calculatedColumnFormula>ROUND(SUM(Staff_min_max[[#This Row],[With Pay Rise Year 5]]*(1+$Y$1)),0)</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D29CF62-2D67-4E28-A666-2D6987920F94}" name="Table7" displayName="Table7" ref="AD3:AU9" totalsRowShown="0" headerRowDxfId="51" tableBorderDxfId="50">
  <autoFilter ref="AD3:AU9" xr:uid="{FD29CF62-2D67-4E28-A666-2D6987920F94}"/>
  <tableColumns count="18">
    <tableColumn id="1" xr3:uid="{3CE4BF18-DB08-4665-AC32-B46A154CBAA4}" name="Partner">
      <calculatedColumnFormula>'Cash Budget - Projects'!#REF!</calculatedColumnFormula>
    </tableColumn>
    <tableColumn id="2" xr3:uid="{8A57EA4F-E60B-4133-A88E-BA0A36EF6605}" name="Person">
      <calculatedColumnFormula>'Cash Budget - Projects'!#REF!</calculatedColumnFormula>
    </tableColumn>
    <tableColumn id="3" xr3:uid="{A8235702-F5EF-4F9A-8126-B10A0EC542AF}" name="Project Role">
      <calculatedColumnFormula>'Cash Budget - Projects'!#REF!</calculatedColumnFormula>
    </tableColumn>
    <tableColumn id="4" xr3:uid="{7466B80E-78AF-4B81-8E09-AA8948751711}" name="Staff Category">
      <calculatedColumnFormula>'Cash Budget - Projects'!#REF!</calculatedColumnFormula>
    </tableColumn>
    <tableColumn id="5" xr3:uid="{A28666A0-E638-434E-85AB-6D1348AA5CDA}" name="Required Band Level">
      <calculatedColumnFormula>'Cash Budget - Projects'!#REF!</calculatedColumnFormula>
    </tableColumn>
    <tableColumn id="6" xr3:uid="{04C1F08F-8BFA-4F3C-93B4-6FAAD08D481F}" name="Proposed Annual Salary (1 FTE)" dataDxfId="49">
      <calculatedColumnFormula>'Cash Budget - Projects'!#REF!</calculatedColumnFormula>
    </tableColumn>
    <tableColumn id="7" xr3:uid="{DEB1AA75-E747-4CEF-82FC-CBF8C228BD0B}" name="Year 1 (No Pay Rise)" dataDxfId="48">
      <calculatedColumnFormula>AI4</calculatedColumnFormula>
    </tableColumn>
    <tableColumn id="8" xr3:uid="{F9BE456A-89F9-4E3A-9F12-235223350553}" name="With Pay Rise Year 2" dataDxfId="47">
      <calculatedColumnFormula>IFERROR(ROUND(SUM(Table7[[#This Row],[Proposed Annual Salary (1 FTE)]]*(1+$AK$1)),0),"")</calculatedColumnFormula>
    </tableColumn>
    <tableColumn id="9" xr3:uid="{5EDD42C0-64D2-4EFB-BAB0-6AAC49DAB0F1}" name="With Pay Rise Year 3" dataDxfId="46">
      <calculatedColumnFormula>IFERROR(ROUND(SUM(Table7[[#This Row],[Proposed Annual Salary (1 FTE)]]*(1+$AK$1)^2),0),"")</calculatedColumnFormula>
    </tableColumn>
    <tableColumn id="10" xr3:uid="{9D19AC09-EF5E-4F6D-9300-501F4533A105}" name="With Pay Rise Year 4" dataDxfId="45">
      <calculatedColumnFormula>IFERROR(ROUND(SUM(Table7[[#This Row],[Proposed Annual Salary (1 FTE)]]*(1+$AK$1)^3),0),"")</calculatedColumnFormula>
    </tableColumn>
    <tableColumn id="11" xr3:uid="{283EC431-6295-4A03-ADBC-4843CEEF52F4}" name="With Pay Rise Year 5" dataDxfId="44">
      <calculatedColumnFormula>IFERROR(ROUND(SUM(Table7[[#This Row],[Proposed Annual Salary (1 FTE)]]*(1+$AK$1)^4),0),"")</calculatedColumnFormula>
    </tableColumn>
    <tableColumn id="17" xr3:uid="{1A80604F-BADA-476A-9BD8-DD00BB7F6FEB}" name="With Pay Rise Year 6" dataDxfId="43">
      <calculatedColumnFormula>IFERROR(ROUND(SUM(Table7[[#This Row],[Proposed Annual Salary (1 FTE)]]*(1+$AK$1)^5),0),"")</calculatedColumnFormula>
    </tableColumn>
    <tableColumn id="12" xr3:uid="{4901D030-E2D4-44FB-BC0F-02A3294234F4}" name="With On-cost if starting Year 1" dataDxfId="42">
      <calculatedColumnFormula>IFERROR(ROUND(SUM(Table7[[#This Row],[Year 1 (No Pay Rise)]]*(1+$AQ$1)),0),"")</calculatedColumnFormula>
    </tableColumn>
    <tableColumn id="13" xr3:uid="{F9402A9D-6EB1-4637-AF5C-AD09CE7CB600}" name="With On-cost if starting Year 2" dataDxfId="41">
      <calculatedColumnFormula>IFERROR(ROUND(SUM(Table7[[#This Row],[With Pay Rise Year 2]]*(1+$AQ$1)),0),"")</calculatedColumnFormula>
    </tableColumn>
    <tableColumn id="14" xr3:uid="{EAEC264C-32A1-4DF2-BA47-F6C3F5CE25DB}" name="With On-cost if starting Year 3" dataDxfId="40">
      <calculatedColumnFormula>IFERROR(ROUND(SUM(Table7[[#This Row],[With Pay Rise Year 3]]*(1+$AQ$1)),0),"")</calculatedColumnFormula>
    </tableColumn>
    <tableColumn id="15" xr3:uid="{1EA95CBB-0783-4A06-9E0D-EA650501B440}" name="With On-cost if starting Year 4" dataDxfId="39">
      <calculatedColumnFormula>IFERROR(ROUND(SUM(Table7[[#This Row],[With Pay Rise Year 4]]*(1+$AQ$1)),0),"")</calculatedColumnFormula>
    </tableColumn>
    <tableColumn id="16" xr3:uid="{175AD8F9-744E-4D9E-83E4-0EDB6EEE76B9}" name="With On-cost if starting Year 5" dataDxfId="38">
      <calculatedColumnFormula>IFERROR(ROUND(SUM(Table7[[#This Row],[With Pay Rise Year 5]]*(1+$AQ$1)),0),"")</calculatedColumnFormula>
    </tableColumn>
    <tableColumn id="18" xr3:uid="{6AB0089E-A69A-48A0-97A5-863DAE754AC4}" name="With On-cost if starting Year 6" dataDxfId="37">
      <calculatedColumnFormula>IFERROR(ROUND(SUM(Table7[[#This Row],[With Pay Rise Year 6]]*(1+$AQ$1)),0),"")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rcsaafe.com.au/assets/volumes/downloads/CRC-SAAFE-Research-Project-Guidelines_March-2026.pdf" TargetMode="External"/><Relationship Id="rId7" Type="http://schemas.openxmlformats.org/officeDocument/2006/relationships/drawing" Target="../drawings/drawing1.xml"/><Relationship Id="rId2" Type="http://schemas.openxmlformats.org/officeDocument/2006/relationships/hyperlink" Target="https://business.gov.au/-/media/grants-and-programs/crc/round-23/crc-grant-opportunity-guidelines-round-23-docx.ashx?sc_lang=en&amp;hash=CCACF170DD940BA64A4CF2464CF7CB5E" TargetMode="External"/><Relationship Id="rId1" Type="http://schemas.openxmlformats.org/officeDocument/2006/relationships/hyperlink" Target="https://business.gov.au/-/media/grants-and-programs/crc/round-23/crc-grant-opportunity-guidelines-round-23-docx.ashx?sc_lang=en&amp;hash=CCACF170DD940BA64A4CF2464CF7CB5E" TargetMode="External"/><Relationship Id="rId6" Type="http://schemas.openxmlformats.org/officeDocument/2006/relationships/printerSettings" Target="../printerSettings/printerSettings1.bin"/><Relationship Id="rId5" Type="http://schemas.openxmlformats.org/officeDocument/2006/relationships/hyperlink" Target="https://www.crcsaafe.com.au/assets/volumes/downloads/CRC-SAAFE-Research-Project-Guidelines_March-2026.pdf" TargetMode="External"/><Relationship Id="rId4" Type="http://schemas.openxmlformats.org/officeDocument/2006/relationships/hyperlink" Target="https://www.crcsaafe.com.au/about-saafe/resources/proposal-developmen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6" Type="http://schemas.openxmlformats.org/officeDocument/2006/relationships/table" Target="../tables/table8.xml"/><Relationship Id="rId11" Type="http://schemas.openxmlformats.org/officeDocument/2006/relationships/comments" Target="../comments1.xml"/><Relationship Id="rId5" Type="http://schemas.openxmlformats.org/officeDocument/2006/relationships/table" Target="../tables/table7.xml"/><Relationship Id="rId10" Type="http://schemas.openxmlformats.org/officeDocument/2006/relationships/table" Target="../tables/table12.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0781F-C5FB-4678-9335-5932F65E9483}">
  <sheetPr codeName="Sheet6"/>
  <dimension ref="B2:U119"/>
  <sheetViews>
    <sheetView showGridLines="0" tabSelected="1" zoomScale="74" zoomScaleNormal="115" workbookViewId="0">
      <pane ySplit="2" topLeftCell="A77" activePane="bottomLeft" state="frozen"/>
      <selection pane="bottomLeft" activeCell="X78" sqref="X78"/>
      <selection activeCell="W87" sqref="W87"/>
    </sheetView>
  </sheetViews>
  <sheetFormatPr defaultColWidth="8.85546875" defaultRowHeight="14.45"/>
  <cols>
    <col min="2" max="2" width="3.42578125" customWidth="1"/>
    <col min="4" max="4" width="8.42578125" customWidth="1"/>
    <col min="20" max="21" width="2.42578125" customWidth="1"/>
  </cols>
  <sheetData>
    <row r="2" spans="3:19" ht="50.25" customHeight="1">
      <c r="C2" s="52" t="s">
        <v>0</v>
      </c>
    </row>
    <row r="4" spans="3:19" ht="15.6">
      <c r="C4" s="53" t="s">
        <v>1</v>
      </c>
    </row>
    <row r="5" spans="3:19" ht="11.65" customHeight="1"/>
    <row r="6" spans="3:19" ht="36" customHeight="1">
      <c r="C6" s="309" t="s">
        <v>2</v>
      </c>
      <c r="D6" s="309"/>
      <c r="E6" s="309"/>
      <c r="F6" s="309"/>
      <c r="G6" s="309"/>
      <c r="H6" s="309"/>
      <c r="I6" s="309"/>
      <c r="J6" s="309"/>
      <c r="K6" s="309"/>
      <c r="L6" s="309"/>
      <c r="M6" s="309"/>
      <c r="N6" s="309"/>
      <c r="O6" s="309"/>
      <c r="P6" s="309"/>
      <c r="Q6" s="309"/>
      <c r="R6" s="309"/>
      <c r="S6" s="309"/>
    </row>
    <row r="7" spans="3:19" ht="45.75" customHeight="1">
      <c r="C7" s="54"/>
      <c r="D7" s="314" t="s">
        <v>3</v>
      </c>
      <c r="E7" s="314"/>
      <c r="F7" s="314"/>
      <c r="G7" s="314"/>
      <c r="H7" s="314"/>
      <c r="I7" s="314"/>
      <c r="J7" s="314"/>
      <c r="K7" s="314"/>
      <c r="L7" s="314"/>
      <c r="M7" s="314"/>
      <c r="N7" s="314"/>
      <c r="O7" s="314"/>
      <c r="P7" s="54"/>
      <c r="Q7" s="54"/>
      <c r="R7" s="54"/>
      <c r="S7" s="54"/>
    </row>
    <row r="8" spans="3:19" s="56" customFormat="1" ht="93" customHeight="1">
      <c r="D8" s="316" t="s">
        <v>4</v>
      </c>
      <c r="E8" s="316"/>
      <c r="F8" s="316"/>
      <c r="G8" s="316"/>
      <c r="H8" s="316"/>
      <c r="I8" s="316"/>
      <c r="J8" s="316"/>
      <c r="K8" s="316"/>
      <c r="L8" s="316"/>
      <c r="M8" s="316"/>
      <c r="N8" s="316"/>
      <c r="O8" s="316"/>
      <c r="P8" s="316"/>
      <c r="Q8" s="316"/>
      <c r="R8" s="316"/>
    </row>
    <row r="9" spans="3:19" s="56" customFormat="1" ht="45.75" customHeight="1">
      <c r="D9" s="315" t="s">
        <v>5</v>
      </c>
      <c r="E9" s="315"/>
      <c r="F9" s="315"/>
      <c r="G9" s="315"/>
      <c r="H9" s="315"/>
      <c r="I9" s="315"/>
      <c r="J9" s="315"/>
      <c r="K9" s="315"/>
      <c r="L9" s="315"/>
      <c r="M9" s="315"/>
      <c r="N9" s="315"/>
      <c r="O9" s="315"/>
    </row>
    <row r="10" spans="3:19" s="56" customFormat="1" ht="45.75" customHeight="1">
      <c r="D10" s="310" t="s">
        <v>6</v>
      </c>
      <c r="E10" s="310"/>
      <c r="F10" s="310"/>
      <c r="G10" s="310"/>
      <c r="H10" s="310" t="s">
        <v>7</v>
      </c>
      <c r="I10" s="310"/>
      <c r="J10" s="310"/>
      <c r="K10" s="310"/>
      <c r="L10" s="121"/>
      <c r="M10" s="121"/>
      <c r="N10" s="121"/>
      <c r="O10" s="121"/>
    </row>
    <row r="11" spans="3:19" ht="52.5" customHeight="1">
      <c r="D11" s="313" t="s">
        <v>8</v>
      </c>
      <c r="E11" s="313"/>
      <c r="F11" s="313"/>
      <c r="G11" s="313"/>
      <c r="H11" s="313"/>
      <c r="I11" s="313"/>
      <c r="J11" s="313"/>
      <c r="K11" s="313"/>
      <c r="L11" s="313"/>
      <c r="M11" s="313"/>
      <c r="N11" s="313"/>
      <c r="O11" s="313"/>
    </row>
    <row r="12" spans="3:19" ht="16.149999999999999" customHeight="1">
      <c r="D12" s="311" t="s">
        <v>9</v>
      </c>
      <c r="E12" s="311"/>
      <c r="F12" s="311"/>
      <c r="G12" s="311"/>
      <c r="H12" s="311"/>
    </row>
    <row r="13" spans="3:19" ht="16.149999999999999" customHeight="1"/>
    <row r="14" spans="3:19" ht="33" customHeight="1">
      <c r="C14" s="309" t="s">
        <v>10</v>
      </c>
      <c r="D14" s="309"/>
      <c r="E14" s="309"/>
      <c r="F14" s="309"/>
      <c r="G14" s="309"/>
      <c r="H14" s="309"/>
      <c r="I14" s="309"/>
      <c r="J14" s="309"/>
      <c r="K14" s="309"/>
      <c r="L14" s="309"/>
      <c r="M14" s="309"/>
      <c r="N14" s="309"/>
      <c r="O14" s="309"/>
      <c r="P14" s="309"/>
      <c r="Q14" s="309"/>
      <c r="R14" s="309"/>
      <c r="S14" s="309"/>
    </row>
    <row r="15" spans="3:19" ht="16.5" customHeight="1">
      <c r="C15" s="54"/>
      <c r="D15" s="54"/>
      <c r="E15" s="54"/>
      <c r="F15" s="54"/>
      <c r="G15" s="54"/>
      <c r="H15" s="54"/>
      <c r="I15" s="54"/>
      <c r="J15" s="54"/>
      <c r="K15" s="54"/>
      <c r="L15" s="54"/>
      <c r="M15" s="54"/>
      <c r="N15" s="54"/>
      <c r="O15" s="54"/>
      <c r="P15" s="54"/>
      <c r="Q15" s="54"/>
      <c r="R15" s="54"/>
      <c r="S15" s="54"/>
    </row>
    <row r="16" spans="3:19" ht="16.149999999999999" customHeight="1">
      <c r="C16" s="53" t="s">
        <v>11</v>
      </c>
      <c r="D16" s="54"/>
      <c r="E16" s="54"/>
      <c r="F16" s="54"/>
      <c r="G16" s="54"/>
      <c r="H16" s="69"/>
      <c r="I16" s="54"/>
      <c r="J16" s="54"/>
      <c r="K16" s="54"/>
      <c r="L16" s="54"/>
      <c r="M16" s="54"/>
      <c r="N16" s="54"/>
      <c r="O16" s="54"/>
      <c r="P16" s="54"/>
      <c r="Q16" s="54"/>
      <c r="R16" s="54"/>
      <c r="S16" s="54"/>
    </row>
    <row r="17" spans="2:21">
      <c r="D17" s="55" t="s">
        <v>12</v>
      </c>
    </row>
    <row r="18" spans="2:21" ht="16.149999999999999" customHeight="1">
      <c r="C18" s="53"/>
      <c r="D18" s="55" t="s">
        <v>13</v>
      </c>
      <c r="E18" s="54"/>
      <c r="F18" s="54"/>
      <c r="G18" s="54"/>
      <c r="H18" s="69"/>
      <c r="I18" s="54"/>
      <c r="J18" s="54"/>
      <c r="K18" s="54"/>
      <c r="L18" s="54"/>
      <c r="M18" s="54"/>
      <c r="N18" s="54"/>
      <c r="O18" s="54"/>
      <c r="P18" s="54"/>
      <c r="Q18" s="54"/>
      <c r="R18" s="54"/>
      <c r="S18" s="54"/>
    </row>
    <row r="19" spans="2:21" ht="16.149999999999999" customHeight="1">
      <c r="C19" s="53"/>
      <c r="D19" s="55" t="s">
        <v>14</v>
      </c>
      <c r="E19" s="54"/>
      <c r="F19" s="54"/>
      <c r="G19" s="54"/>
      <c r="H19" s="69"/>
      <c r="I19" s="54"/>
      <c r="J19" s="54"/>
      <c r="K19" s="54"/>
      <c r="L19" s="54"/>
      <c r="M19" s="54"/>
      <c r="N19" s="54"/>
      <c r="O19" s="54"/>
      <c r="P19" s="54"/>
      <c r="Q19" s="54"/>
      <c r="R19" s="54"/>
      <c r="S19" s="54"/>
    </row>
    <row r="20" spans="2:21" ht="16.149999999999999" customHeight="1">
      <c r="C20" s="53"/>
      <c r="D20" s="55" t="s">
        <v>15</v>
      </c>
      <c r="E20" s="54"/>
      <c r="F20" s="54"/>
      <c r="G20" s="54"/>
      <c r="H20" s="69"/>
      <c r="I20" s="54"/>
      <c r="J20" s="54"/>
      <c r="K20" s="54"/>
      <c r="L20" s="54"/>
      <c r="M20" s="54"/>
      <c r="N20" s="54"/>
      <c r="O20" s="54"/>
      <c r="P20" s="54"/>
      <c r="Q20" s="54"/>
      <c r="R20" s="54"/>
      <c r="S20" s="54"/>
    </row>
    <row r="21" spans="2:21" ht="16.149999999999999" customHeight="1">
      <c r="C21" s="53"/>
      <c r="D21" s="55" t="s">
        <v>16</v>
      </c>
      <c r="E21" s="54"/>
      <c r="F21" s="54"/>
      <c r="G21" s="54"/>
      <c r="H21" s="69"/>
      <c r="I21" s="54"/>
      <c r="J21" s="54"/>
      <c r="K21" s="54"/>
      <c r="L21" s="54"/>
      <c r="M21" s="54"/>
      <c r="N21" s="54"/>
      <c r="O21" s="54"/>
      <c r="P21" s="54"/>
      <c r="Q21" s="54"/>
      <c r="R21" s="54"/>
      <c r="S21" s="54"/>
    </row>
    <row r="23" spans="2:21" ht="16.149999999999999" customHeight="1">
      <c r="C23" s="53" t="s">
        <v>17</v>
      </c>
      <c r="E23" s="54"/>
      <c r="F23" s="54"/>
      <c r="G23" s="54"/>
      <c r="H23" s="69"/>
      <c r="I23" s="54"/>
      <c r="J23" s="54"/>
      <c r="K23" s="54"/>
      <c r="L23" s="54"/>
      <c r="M23" s="54"/>
      <c r="N23" s="54"/>
      <c r="O23" s="54"/>
      <c r="P23" s="54"/>
      <c r="Q23" s="54"/>
      <c r="R23" s="54"/>
      <c r="S23" s="54"/>
    </row>
    <row r="24" spans="2:21" ht="16.149999999999999" customHeight="1">
      <c r="C24" s="53"/>
      <c r="D24" t="s">
        <v>18</v>
      </c>
      <c r="E24" s="54"/>
      <c r="F24" s="54"/>
      <c r="G24" s="54"/>
      <c r="H24" s="69"/>
      <c r="I24" s="54"/>
      <c r="J24" s="54"/>
      <c r="K24" s="54"/>
      <c r="L24" s="54"/>
      <c r="M24" s="54"/>
      <c r="N24" s="54"/>
      <c r="O24" s="54"/>
      <c r="P24" s="54"/>
      <c r="Q24" s="54"/>
      <c r="R24" s="54"/>
      <c r="S24" s="54"/>
    </row>
    <row r="25" spans="2:21" ht="16.149999999999999" customHeight="1">
      <c r="C25" s="58"/>
      <c r="D25" s="58" t="s">
        <v>19</v>
      </c>
      <c r="E25" s="58"/>
      <c r="F25" s="58"/>
      <c r="G25" s="58"/>
      <c r="H25" s="58"/>
      <c r="I25" s="58"/>
      <c r="J25" s="58"/>
      <c r="K25" s="58"/>
      <c r="L25" s="58"/>
      <c r="M25" s="58"/>
      <c r="N25" s="58"/>
      <c r="O25" s="58"/>
      <c r="P25" s="58"/>
      <c r="Q25" s="58"/>
      <c r="R25" s="58"/>
      <c r="S25" s="58"/>
    </row>
    <row r="26" spans="2:21" ht="120.6" customHeight="1" thickBot="1">
      <c r="D26" s="313" t="s">
        <v>20</v>
      </c>
      <c r="E26" s="313"/>
      <c r="F26" s="313"/>
      <c r="G26" s="313"/>
      <c r="H26" s="313"/>
      <c r="I26" s="313"/>
      <c r="J26" s="313"/>
      <c r="K26" s="313"/>
      <c r="L26" s="313"/>
      <c r="M26" s="313"/>
      <c r="N26" s="313"/>
      <c r="O26" s="313"/>
      <c r="P26" s="313"/>
      <c r="Q26" s="313"/>
      <c r="R26" s="313"/>
      <c r="S26" s="313"/>
    </row>
    <row r="27" spans="2:21" ht="11.65" customHeight="1">
      <c r="B27" s="59"/>
      <c r="C27" s="60"/>
      <c r="D27" s="60"/>
      <c r="E27" s="60"/>
      <c r="F27" s="60"/>
      <c r="G27" s="60"/>
      <c r="H27" s="60"/>
      <c r="I27" s="60"/>
      <c r="J27" s="60"/>
      <c r="K27" s="60"/>
      <c r="L27" s="60"/>
      <c r="M27" s="60"/>
      <c r="N27" s="60"/>
      <c r="O27" s="60"/>
      <c r="P27" s="60"/>
      <c r="Q27" s="60"/>
      <c r="R27" s="60"/>
      <c r="S27" s="60"/>
      <c r="T27" s="60"/>
      <c r="U27" s="61"/>
    </row>
    <row r="28" spans="2:21" ht="16.149999999999999" customHeight="1">
      <c r="B28" s="62"/>
      <c r="C28" s="63" t="s">
        <v>21</v>
      </c>
      <c r="U28" s="64"/>
    </row>
    <row r="29" spans="2:21" ht="11.65" customHeight="1">
      <c r="B29" s="62"/>
      <c r="U29" s="64"/>
    </row>
    <row r="30" spans="2:21" ht="68.25" customHeight="1">
      <c r="B30" s="62"/>
      <c r="C30" s="309" t="s">
        <v>22</v>
      </c>
      <c r="D30" s="309"/>
      <c r="E30" s="309"/>
      <c r="F30" s="309"/>
      <c r="G30" s="309"/>
      <c r="H30" s="309"/>
      <c r="I30" s="309"/>
      <c r="J30" s="309"/>
      <c r="K30" s="309"/>
      <c r="L30" s="309"/>
      <c r="M30" s="309"/>
      <c r="N30" s="309"/>
      <c r="O30" s="309"/>
      <c r="P30" s="309"/>
      <c r="Q30" s="309"/>
      <c r="R30" s="309"/>
      <c r="S30" s="309"/>
      <c r="U30" s="64"/>
    </row>
    <row r="31" spans="2:21" ht="16.149999999999999" customHeight="1">
      <c r="B31" s="62"/>
      <c r="U31" s="64"/>
    </row>
    <row r="32" spans="2:21" ht="16.149999999999999" customHeight="1">
      <c r="B32" s="62"/>
      <c r="U32" s="64"/>
    </row>
    <row r="33" spans="2:21" ht="16.149999999999999" customHeight="1">
      <c r="B33" s="62"/>
      <c r="U33" s="64"/>
    </row>
    <row r="34" spans="2:21" ht="16.149999999999999" customHeight="1">
      <c r="B34" s="62"/>
      <c r="U34" s="64"/>
    </row>
    <row r="35" spans="2:21" ht="16.149999999999999" customHeight="1">
      <c r="B35" s="62"/>
      <c r="U35" s="64"/>
    </row>
    <row r="36" spans="2:21" ht="16.149999999999999" customHeight="1">
      <c r="B36" s="62"/>
      <c r="U36" s="64"/>
    </row>
    <row r="37" spans="2:21" ht="16.149999999999999" customHeight="1">
      <c r="B37" s="62"/>
      <c r="U37" s="64"/>
    </row>
    <row r="38" spans="2:21" ht="16.149999999999999" customHeight="1">
      <c r="B38" s="62"/>
      <c r="U38" s="64"/>
    </row>
    <row r="39" spans="2:21" ht="16.149999999999999" customHeight="1">
      <c r="B39" s="62"/>
      <c r="U39" s="64"/>
    </row>
    <row r="40" spans="2:21" ht="16.149999999999999" customHeight="1">
      <c r="B40" s="62"/>
      <c r="U40" s="64"/>
    </row>
    <row r="41" spans="2:21" ht="16.149999999999999" customHeight="1">
      <c r="B41" s="62"/>
      <c r="U41" s="64"/>
    </row>
    <row r="42" spans="2:21">
      <c r="B42" s="62"/>
      <c r="U42" s="64"/>
    </row>
    <row r="43" spans="2:21">
      <c r="B43" s="62"/>
      <c r="U43" s="64"/>
    </row>
    <row r="44" spans="2:21">
      <c r="B44" s="62"/>
      <c r="U44" s="64"/>
    </row>
    <row r="45" spans="2:21">
      <c r="B45" s="62"/>
      <c r="U45" s="64"/>
    </row>
    <row r="46" spans="2:21">
      <c r="B46" s="62"/>
      <c r="U46" s="64"/>
    </row>
    <row r="47" spans="2:21">
      <c r="B47" s="62"/>
      <c r="U47" s="64"/>
    </row>
    <row r="48" spans="2:21">
      <c r="B48" s="62"/>
      <c r="U48" s="64"/>
    </row>
    <row r="49" spans="2:21">
      <c r="B49" s="62"/>
      <c r="U49" s="64"/>
    </row>
    <row r="50" spans="2:21" ht="15" thickBot="1">
      <c r="B50" s="65"/>
      <c r="C50" s="66"/>
      <c r="D50" s="66"/>
      <c r="E50" s="66"/>
      <c r="F50" s="66"/>
      <c r="G50" s="66"/>
      <c r="H50" s="66"/>
      <c r="I50" s="66"/>
      <c r="J50" s="66"/>
      <c r="K50" s="66"/>
      <c r="L50" s="66"/>
      <c r="M50" s="66"/>
      <c r="N50" s="66"/>
      <c r="O50" s="66"/>
      <c r="P50" s="66"/>
      <c r="Q50" s="66"/>
      <c r="R50" s="66"/>
      <c r="S50" s="66"/>
      <c r="T50" s="66"/>
      <c r="U50" s="67"/>
    </row>
    <row r="51" spans="2:21" ht="15" thickBot="1"/>
    <row r="52" spans="2:21" ht="11.65" customHeight="1">
      <c r="B52" s="59"/>
      <c r="C52" s="60"/>
      <c r="D52" s="60"/>
      <c r="E52" s="60"/>
      <c r="F52" s="60"/>
      <c r="G52" s="60"/>
      <c r="H52" s="60"/>
      <c r="I52" s="60"/>
      <c r="J52" s="60"/>
      <c r="K52" s="60"/>
      <c r="L52" s="60"/>
      <c r="M52" s="60"/>
      <c r="N52" s="60"/>
      <c r="O52" s="60"/>
      <c r="P52" s="60"/>
      <c r="Q52" s="60"/>
      <c r="R52" s="60"/>
      <c r="S52" s="60"/>
      <c r="T52" s="60"/>
      <c r="U52" s="61"/>
    </row>
    <row r="53" spans="2:21" ht="16.149999999999999" customHeight="1">
      <c r="B53" s="62"/>
      <c r="C53" s="63" t="s">
        <v>23</v>
      </c>
      <c r="U53" s="64"/>
    </row>
    <row r="54" spans="2:21" ht="11.65" customHeight="1">
      <c r="B54" s="62"/>
      <c r="U54" s="64"/>
    </row>
    <row r="55" spans="2:21" ht="90.75" customHeight="1">
      <c r="B55" s="62"/>
      <c r="C55" s="309" t="s">
        <v>24</v>
      </c>
      <c r="D55" s="309"/>
      <c r="E55" s="309"/>
      <c r="F55" s="309"/>
      <c r="G55" s="309"/>
      <c r="H55" s="309"/>
      <c r="I55" s="309"/>
      <c r="J55" s="309"/>
      <c r="K55" s="309"/>
      <c r="L55" s="309"/>
      <c r="M55" s="309"/>
      <c r="N55" s="309"/>
      <c r="O55" s="309"/>
      <c r="P55" s="309"/>
      <c r="Q55" s="309"/>
      <c r="R55" s="309"/>
      <c r="S55" s="309"/>
      <c r="U55" s="64"/>
    </row>
    <row r="56" spans="2:21">
      <c r="B56" s="62"/>
      <c r="C56" s="317" t="s">
        <v>25</v>
      </c>
      <c r="D56" s="317"/>
      <c r="E56" s="317"/>
      <c r="F56" s="317"/>
      <c r="G56" s="317"/>
      <c r="H56" s="317"/>
      <c r="U56" s="64"/>
    </row>
    <row r="57" spans="2:21" ht="11.65" customHeight="1">
      <c r="B57" s="62"/>
      <c r="U57" s="64"/>
    </row>
    <row r="58" spans="2:21" ht="16.149999999999999" customHeight="1">
      <c r="B58" s="62"/>
      <c r="C58" s="68" t="s">
        <v>26</v>
      </c>
      <c r="U58" s="64"/>
    </row>
    <row r="59" spans="2:21" ht="11.65" customHeight="1">
      <c r="B59" s="62"/>
      <c r="U59" s="64"/>
    </row>
    <row r="60" spans="2:21" ht="51" customHeight="1">
      <c r="B60" s="62"/>
      <c r="C60" s="309" t="s">
        <v>27</v>
      </c>
      <c r="D60" s="309"/>
      <c r="E60" s="309"/>
      <c r="F60" s="309"/>
      <c r="G60" s="309"/>
      <c r="H60" s="309"/>
      <c r="I60" s="309"/>
      <c r="J60" s="309"/>
      <c r="K60" s="309"/>
      <c r="L60" s="309"/>
      <c r="M60" s="309"/>
      <c r="N60" s="309"/>
      <c r="O60" s="309"/>
      <c r="P60" s="309"/>
      <c r="Q60" s="309"/>
      <c r="R60" s="309"/>
      <c r="S60" s="309"/>
      <c r="U60" s="64"/>
    </row>
    <row r="61" spans="2:21" ht="11.65" customHeight="1">
      <c r="B61" s="62"/>
      <c r="U61" s="64"/>
    </row>
    <row r="62" spans="2:21" ht="11.65" customHeight="1">
      <c r="B62" s="62"/>
      <c r="U62" s="64"/>
    </row>
    <row r="63" spans="2:21" ht="11.65" customHeight="1">
      <c r="B63" s="62"/>
      <c r="U63" s="64"/>
    </row>
    <row r="64" spans="2:21" ht="11.65" customHeight="1">
      <c r="B64" s="62"/>
      <c r="U64" s="64"/>
    </row>
    <row r="65" spans="2:21" ht="11.65" customHeight="1">
      <c r="B65" s="62"/>
      <c r="U65" s="64"/>
    </row>
    <row r="66" spans="2:21" ht="11.65" customHeight="1">
      <c r="B66" s="62"/>
      <c r="U66" s="64"/>
    </row>
    <row r="67" spans="2:21" ht="11.65" customHeight="1">
      <c r="B67" s="62"/>
      <c r="C67" s="68" t="s">
        <v>28</v>
      </c>
      <c r="U67" s="64"/>
    </row>
    <row r="68" spans="2:21" ht="11.65" customHeight="1">
      <c r="B68" s="62"/>
      <c r="U68" s="64"/>
    </row>
    <row r="69" spans="2:21" ht="44.65" customHeight="1">
      <c r="B69" s="62"/>
      <c r="C69" s="309" t="s">
        <v>29</v>
      </c>
      <c r="D69" s="309"/>
      <c r="E69" s="309"/>
      <c r="F69" s="309"/>
      <c r="G69" s="309"/>
      <c r="H69" s="309"/>
      <c r="I69" s="309"/>
      <c r="J69" s="309"/>
      <c r="K69" s="309"/>
      <c r="L69" s="309"/>
      <c r="M69" s="309"/>
      <c r="N69" s="309"/>
      <c r="O69" s="309"/>
      <c r="P69" s="309"/>
      <c r="Q69" s="309"/>
      <c r="R69" s="309"/>
      <c r="S69" s="309"/>
      <c r="U69" s="64"/>
    </row>
    <row r="70" spans="2:21" ht="21" customHeight="1">
      <c r="B70" s="62"/>
      <c r="C70" s="54"/>
      <c r="D70" s="54"/>
      <c r="E70" s="69"/>
      <c r="F70" s="54"/>
      <c r="G70" s="54"/>
      <c r="H70" s="54"/>
      <c r="I70" s="70"/>
      <c r="J70" s="54"/>
      <c r="K70" s="58"/>
      <c r="L70" s="54"/>
      <c r="M70" s="54"/>
      <c r="N70" s="54"/>
      <c r="O70" s="54"/>
      <c r="P70" s="54"/>
      <c r="Q70" s="54"/>
      <c r="R70" s="54"/>
      <c r="S70" s="54"/>
      <c r="U70" s="64"/>
    </row>
    <row r="71" spans="2:21" ht="16.149999999999999" customHeight="1">
      <c r="B71" s="62"/>
      <c r="C71" s="54"/>
      <c r="D71" s="73" t="s">
        <v>30</v>
      </c>
      <c r="E71" s="54"/>
      <c r="F71" s="54"/>
      <c r="G71" s="54"/>
      <c r="H71" s="54"/>
      <c r="I71" s="54"/>
      <c r="J71" s="54"/>
      <c r="K71" s="54"/>
      <c r="L71" s="54"/>
      <c r="M71" s="54"/>
      <c r="N71" s="54"/>
      <c r="O71" s="54"/>
      <c r="P71" s="54"/>
      <c r="Q71" s="54"/>
      <c r="R71" s="54"/>
      <c r="S71" s="54"/>
      <c r="U71" s="64"/>
    </row>
    <row r="72" spans="2:21" ht="35.25" customHeight="1">
      <c r="B72" s="62"/>
      <c r="C72" s="54"/>
      <c r="D72" s="314" t="s">
        <v>31</v>
      </c>
      <c r="E72" s="313"/>
      <c r="F72" s="313"/>
      <c r="G72" s="313"/>
      <c r="H72" s="313"/>
      <c r="I72" s="313"/>
      <c r="J72" s="313"/>
      <c r="K72" s="313"/>
      <c r="L72" s="313"/>
      <c r="M72" s="313"/>
      <c r="N72" s="313"/>
      <c r="O72" s="313"/>
      <c r="P72" s="313"/>
      <c r="Q72" s="313"/>
      <c r="R72" s="313"/>
      <c r="S72" s="54"/>
      <c r="U72" s="64"/>
    </row>
    <row r="73" spans="2:21" ht="16.149999999999999" customHeight="1">
      <c r="B73" s="62"/>
      <c r="C73" s="54"/>
      <c r="D73" s="72" t="s">
        <v>32</v>
      </c>
      <c r="E73" s="54"/>
      <c r="F73" s="54"/>
      <c r="G73" s="54"/>
      <c r="H73" s="54"/>
      <c r="I73" s="54"/>
      <c r="J73" s="54"/>
      <c r="K73" s="54"/>
      <c r="L73" s="54"/>
      <c r="M73" s="54"/>
      <c r="N73" s="54"/>
      <c r="O73" s="71"/>
      <c r="Q73" s="54"/>
      <c r="R73" s="54"/>
      <c r="S73" s="54"/>
      <c r="U73" s="64"/>
    </row>
    <row r="74" spans="2:21" ht="18.75" customHeight="1">
      <c r="B74" s="62"/>
      <c r="C74" s="54"/>
      <c r="D74" s="313" t="s">
        <v>33</v>
      </c>
      <c r="E74" s="313"/>
      <c r="F74" s="313"/>
      <c r="G74" s="313"/>
      <c r="H74" s="313"/>
      <c r="I74" s="313"/>
      <c r="J74" s="313"/>
      <c r="K74" s="313"/>
      <c r="L74" s="313"/>
      <c r="M74" s="313"/>
      <c r="N74" s="313"/>
      <c r="O74" s="313"/>
      <c r="P74" s="313"/>
      <c r="Q74" s="313"/>
      <c r="R74" s="313"/>
      <c r="S74" s="313"/>
      <c r="U74" s="64"/>
    </row>
    <row r="75" spans="2:21" ht="50.25" customHeight="1">
      <c r="B75" s="62"/>
      <c r="C75" s="54"/>
      <c r="D75" s="313" t="s">
        <v>34</v>
      </c>
      <c r="E75" s="313"/>
      <c r="F75" s="313"/>
      <c r="G75" s="313"/>
      <c r="H75" s="313"/>
      <c r="I75" s="313"/>
      <c r="J75" s="313"/>
      <c r="K75" s="313"/>
      <c r="L75" s="313"/>
      <c r="M75" s="313"/>
      <c r="N75" s="313"/>
      <c r="O75" s="313"/>
      <c r="P75" s="313"/>
      <c r="Q75" s="313"/>
      <c r="R75" s="313"/>
      <c r="S75" s="313"/>
      <c r="U75" s="64"/>
    </row>
    <row r="76" spans="2:21" ht="78" customHeight="1">
      <c r="B76" s="62"/>
      <c r="C76" s="54"/>
      <c r="D76" s="313" t="s">
        <v>35</v>
      </c>
      <c r="E76" s="313"/>
      <c r="F76" s="313"/>
      <c r="G76" s="313"/>
      <c r="H76" s="313"/>
      <c r="I76" s="313"/>
      <c r="J76" s="313"/>
      <c r="K76" s="313"/>
      <c r="L76" s="313"/>
      <c r="M76" s="313"/>
      <c r="N76" s="313"/>
      <c r="O76" s="313"/>
      <c r="P76" s="313"/>
      <c r="Q76" s="313"/>
      <c r="R76" s="313"/>
      <c r="S76" s="313"/>
      <c r="U76" s="64"/>
    </row>
    <row r="77" spans="2:21" ht="52.5" customHeight="1">
      <c r="B77" s="62"/>
      <c r="C77" s="54"/>
      <c r="D77" s="57"/>
      <c r="E77" s="57"/>
      <c r="F77" s="57"/>
      <c r="G77" s="57"/>
      <c r="H77" s="57"/>
      <c r="I77" s="57"/>
      <c r="J77" s="57"/>
      <c r="K77" s="57"/>
      <c r="L77" s="57"/>
      <c r="M77" s="57"/>
      <c r="N77" s="57"/>
      <c r="O77" s="57"/>
      <c r="P77" s="57"/>
      <c r="Q77" s="57"/>
      <c r="R77" s="57"/>
      <c r="S77" s="57"/>
      <c r="U77" s="64"/>
    </row>
    <row r="78" spans="2:21" ht="52.5" customHeight="1">
      <c r="B78" s="62"/>
      <c r="C78" s="54"/>
      <c r="D78" s="57"/>
      <c r="E78" s="57"/>
      <c r="F78" s="57"/>
      <c r="G78" s="57"/>
      <c r="H78" s="57"/>
      <c r="I78" s="57"/>
      <c r="J78" s="57"/>
      <c r="K78" s="57"/>
      <c r="L78" s="57"/>
      <c r="M78" s="57"/>
      <c r="N78" s="57"/>
      <c r="O78" s="57"/>
      <c r="P78" s="57"/>
      <c r="Q78" s="57"/>
      <c r="R78" s="57"/>
      <c r="S78" s="57"/>
      <c r="U78" s="64"/>
    </row>
    <row r="79" spans="2:21" ht="52.5" customHeight="1">
      <c r="B79" s="62"/>
      <c r="C79" s="54"/>
      <c r="D79" s="57"/>
      <c r="E79" s="57"/>
      <c r="F79" s="57"/>
      <c r="G79" s="57"/>
      <c r="H79" s="57"/>
      <c r="I79" s="57"/>
      <c r="J79" s="57"/>
      <c r="K79" s="57"/>
      <c r="L79" s="57"/>
      <c r="M79" s="57"/>
      <c r="N79" s="57"/>
      <c r="O79" s="57"/>
      <c r="P79" s="57"/>
      <c r="Q79" s="57"/>
      <c r="R79" s="57"/>
      <c r="S79" s="57"/>
      <c r="U79" s="64"/>
    </row>
    <row r="80" spans="2:21" ht="11.65" customHeight="1">
      <c r="B80" s="62"/>
      <c r="U80" s="64"/>
    </row>
    <row r="81" spans="2:21" ht="11.65" customHeight="1">
      <c r="B81" s="62"/>
      <c r="C81" s="68" t="s">
        <v>36</v>
      </c>
      <c r="U81" s="64"/>
    </row>
    <row r="82" spans="2:21" ht="11.65" customHeight="1">
      <c r="B82" s="62"/>
      <c r="U82" s="64"/>
    </row>
    <row r="83" spans="2:21" ht="45" customHeight="1">
      <c r="B83" s="62"/>
      <c r="C83" s="309" t="s">
        <v>37</v>
      </c>
      <c r="D83" s="309"/>
      <c r="E83" s="309"/>
      <c r="F83" s="309"/>
      <c r="G83" s="309"/>
      <c r="H83" s="309"/>
      <c r="I83" s="309"/>
      <c r="J83" s="309"/>
      <c r="K83" s="309"/>
      <c r="L83" s="309"/>
      <c r="M83" s="309"/>
      <c r="N83" s="309"/>
      <c r="O83" s="309"/>
      <c r="P83" s="309"/>
      <c r="Q83" s="309"/>
      <c r="R83" s="309"/>
      <c r="S83" s="309"/>
      <c r="U83" s="64"/>
    </row>
    <row r="84" spans="2:21" ht="11.65" customHeight="1">
      <c r="B84" s="62"/>
      <c r="C84" t="s">
        <v>38</v>
      </c>
      <c r="L84" s="310" t="s">
        <v>7</v>
      </c>
      <c r="M84" s="310"/>
      <c r="N84" s="310"/>
      <c r="O84" s="310"/>
      <c r="U84" s="64"/>
    </row>
    <row r="85" spans="2:21">
      <c r="B85" s="62"/>
      <c r="U85" s="64"/>
    </row>
    <row r="86" spans="2:21">
      <c r="B86" s="62"/>
      <c r="C86" s="68" t="s">
        <v>39</v>
      </c>
      <c r="U86" s="64"/>
    </row>
    <row r="87" spans="2:21">
      <c r="B87" s="62"/>
      <c r="U87" s="64"/>
    </row>
    <row r="88" spans="2:21" ht="33" customHeight="1">
      <c r="B88" s="62"/>
      <c r="C88" s="309" t="s">
        <v>40</v>
      </c>
      <c r="D88" s="309"/>
      <c r="E88" s="309"/>
      <c r="F88" s="309"/>
      <c r="G88" s="309"/>
      <c r="H88" s="309"/>
      <c r="I88" s="309"/>
      <c r="J88" s="309"/>
      <c r="K88" s="309"/>
      <c r="L88" s="309"/>
      <c r="M88" s="309"/>
      <c r="N88" s="309"/>
      <c r="O88" s="309"/>
      <c r="P88" s="309"/>
      <c r="Q88" s="309"/>
      <c r="R88" s="309"/>
      <c r="S88" s="309"/>
      <c r="U88" s="64"/>
    </row>
    <row r="89" spans="2:21">
      <c r="B89" s="62"/>
      <c r="U89" s="64"/>
    </row>
    <row r="90" spans="2:21">
      <c r="B90" s="62"/>
      <c r="C90" s="68" t="s">
        <v>41</v>
      </c>
      <c r="U90" s="64"/>
    </row>
    <row r="91" spans="2:21">
      <c r="B91" s="62"/>
      <c r="U91" s="64"/>
    </row>
    <row r="92" spans="2:21">
      <c r="B92" s="62"/>
      <c r="C92" s="309" t="s">
        <v>42</v>
      </c>
      <c r="D92" s="309"/>
      <c r="E92" s="309"/>
      <c r="F92" s="309"/>
      <c r="G92" s="309"/>
      <c r="H92" s="309"/>
      <c r="I92" s="309"/>
      <c r="J92" s="309"/>
      <c r="K92" s="309"/>
      <c r="L92" s="309"/>
      <c r="M92" s="309"/>
      <c r="N92" s="309"/>
      <c r="O92" s="309"/>
      <c r="P92" s="309"/>
      <c r="Q92" s="309"/>
      <c r="R92" s="309"/>
      <c r="S92" s="309"/>
      <c r="U92" s="64"/>
    </row>
    <row r="93" spans="2:21">
      <c r="B93" s="62"/>
      <c r="U93" s="64"/>
    </row>
    <row r="94" spans="2:21">
      <c r="B94" s="62"/>
      <c r="C94" s="68" t="s">
        <v>43</v>
      </c>
      <c r="U94" s="64"/>
    </row>
    <row r="95" spans="2:21">
      <c r="B95" s="62"/>
      <c r="U95" s="64"/>
    </row>
    <row r="96" spans="2:21" ht="71.650000000000006" customHeight="1" thickBot="1">
      <c r="B96" s="65"/>
      <c r="C96" s="312" t="s">
        <v>44</v>
      </c>
      <c r="D96" s="312"/>
      <c r="E96" s="312"/>
      <c r="F96" s="312"/>
      <c r="G96" s="312"/>
      <c r="H96" s="312"/>
      <c r="I96" s="312"/>
      <c r="J96" s="312"/>
      <c r="K96" s="312"/>
      <c r="L96" s="312"/>
      <c r="M96" s="312"/>
      <c r="N96" s="312"/>
      <c r="O96" s="312"/>
      <c r="P96" s="312"/>
      <c r="Q96" s="312"/>
      <c r="R96" s="312"/>
      <c r="S96" s="312"/>
      <c r="T96" s="66"/>
      <c r="U96" s="67"/>
    </row>
    <row r="97" spans="2:21" ht="15" thickBot="1"/>
    <row r="98" spans="2:21">
      <c r="B98" s="59"/>
      <c r="C98" s="60"/>
      <c r="D98" s="60"/>
      <c r="E98" s="60"/>
      <c r="F98" s="60"/>
      <c r="G98" s="60"/>
      <c r="H98" s="60"/>
      <c r="I98" s="60"/>
      <c r="J98" s="60"/>
      <c r="K98" s="60"/>
      <c r="L98" s="60"/>
      <c r="M98" s="60"/>
      <c r="N98" s="60"/>
      <c r="O98" s="60"/>
      <c r="P98" s="60"/>
      <c r="Q98" s="60"/>
      <c r="R98" s="60"/>
      <c r="S98" s="60"/>
      <c r="T98" s="60"/>
      <c r="U98" s="61"/>
    </row>
    <row r="99" spans="2:21" ht="15.6">
      <c r="B99" s="62"/>
      <c r="C99" s="63" t="s">
        <v>45</v>
      </c>
      <c r="U99" s="64"/>
    </row>
    <row r="100" spans="2:21">
      <c r="B100" s="62"/>
      <c r="U100" s="64"/>
    </row>
    <row r="101" spans="2:21" ht="40.15" customHeight="1">
      <c r="B101" s="62"/>
      <c r="C101" s="309" t="s">
        <v>46</v>
      </c>
      <c r="D101" s="309"/>
      <c r="E101" s="309"/>
      <c r="F101" s="309"/>
      <c r="G101" s="309"/>
      <c r="H101" s="309"/>
      <c r="I101" s="309"/>
      <c r="J101" s="309"/>
      <c r="K101" s="309"/>
      <c r="L101" s="309"/>
      <c r="M101" s="309"/>
      <c r="N101" s="309"/>
      <c r="O101" s="309"/>
      <c r="P101" s="309"/>
      <c r="Q101" s="309"/>
      <c r="R101" s="309"/>
      <c r="S101" s="309"/>
      <c r="U101" s="64"/>
    </row>
    <row r="102" spans="2:21" ht="65.25" customHeight="1">
      <c r="B102" s="62"/>
      <c r="D102" s="313" t="s">
        <v>47</v>
      </c>
      <c r="E102" s="313"/>
      <c r="F102" s="313"/>
      <c r="G102" s="313"/>
      <c r="H102" s="313"/>
      <c r="I102" s="313"/>
      <c r="J102" s="313"/>
      <c r="K102" s="313"/>
      <c r="L102" s="313"/>
      <c r="M102" s="313"/>
      <c r="N102" s="313"/>
      <c r="O102" s="313"/>
      <c r="P102" s="313"/>
      <c r="Q102" s="313"/>
      <c r="R102" s="313"/>
      <c r="S102" s="313"/>
      <c r="U102" s="64"/>
    </row>
    <row r="103" spans="2:21" ht="61.15" customHeight="1">
      <c r="B103" s="62"/>
      <c r="D103" s="313" t="s">
        <v>48</v>
      </c>
      <c r="E103" s="313"/>
      <c r="F103" s="313"/>
      <c r="G103" s="313"/>
      <c r="H103" s="313"/>
      <c r="I103" s="313"/>
      <c r="J103" s="313"/>
      <c r="K103" s="313"/>
      <c r="L103" s="313"/>
      <c r="M103" s="313"/>
      <c r="N103" s="313"/>
      <c r="O103" s="313"/>
      <c r="P103" s="313"/>
      <c r="Q103" s="313"/>
      <c r="R103" s="313"/>
      <c r="S103" s="313"/>
      <c r="U103" s="64"/>
    </row>
    <row r="104" spans="2:21" ht="22.5" customHeight="1">
      <c r="B104" s="62"/>
      <c r="C104" s="309" t="s">
        <v>49</v>
      </c>
      <c r="D104" s="309"/>
      <c r="E104" s="309"/>
      <c r="F104" s="309"/>
      <c r="G104" s="309"/>
      <c r="H104" s="309"/>
      <c r="I104" s="309"/>
      <c r="J104" s="309"/>
      <c r="K104" s="309"/>
      <c r="L104" s="309"/>
      <c r="M104" s="309"/>
      <c r="N104" s="309"/>
      <c r="O104" s="309"/>
      <c r="P104" s="309"/>
      <c r="Q104" s="309"/>
      <c r="R104" s="309"/>
      <c r="S104" s="309"/>
      <c r="U104" s="64"/>
    </row>
    <row r="105" spans="2:21" ht="46.5" customHeight="1">
      <c r="B105" s="62"/>
      <c r="D105" s="314" t="s">
        <v>50</v>
      </c>
      <c r="E105" s="314"/>
      <c r="F105" s="314"/>
      <c r="G105" s="314"/>
      <c r="H105" s="314"/>
      <c r="I105" s="314"/>
      <c r="J105" s="314"/>
      <c r="K105" s="314"/>
      <c r="L105" s="314"/>
      <c r="M105" s="314"/>
      <c r="N105" s="314"/>
      <c r="O105" s="314"/>
      <c r="P105" s="314"/>
      <c r="Q105" s="314"/>
      <c r="R105" s="314"/>
      <c r="S105" s="314"/>
      <c r="U105" s="64"/>
    </row>
    <row r="106" spans="2:21" ht="52.15" customHeight="1">
      <c r="B106" s="62"/>
      <c r="D106" s="314" t="s">
        <v>51</v>
      </c>
      <c r="E106" s="314"/>
      <c r="F106" s="314"/>
      <c r="G106" s="314"/>
      <c r="H106" s="314"/>
      <c r="I106" s="314"/>
      <c r="J106" s="314"/>
      <c r="K106" s="314"/>
      <c r="L106" s="314"/>
      <c r="M106" s="314"/>
      <c r="N106" s="314"/>
      <c r="O106" s="314"/>
      <c r="P106" s="314"/>
      <c r="Q106" s="314"/>
      <c r="R106" s="314"/>
      <c r="S106" s="314"/>
      <c r="U106" s="64"/>
    </row>
    <row r="107" spans="2:21" ht="8.25" customHeight="1" thickBot="1">
      <c r="B107" s="65"/>
      <c r="C107" s="66"/>
      <c r="D107" s="66"/>
      <c r="E107" s="66"/>
      <c r="F107" s="66"/>
      <c r="G107" s="66"/>
      <c r="H107" s="66"/>
      <c r="I107" s="66"/>
      <c r="J107" s="66"/>
      <c r="K107" s="66"/>
      <c r="L107" s="66"/>
      <c r="M107" s="66"/>
      <c r="N107" s="66"/>
      <c r="O107" s="66"/>
      <c r="P107" s="66"/>
      <c r="Q107" s="66"/>
      <c r="R107" s="66"/>
      <c r="S107" s="66"/>
      <c r="T107" s="66"/>
      <c r="U107" s="67"/>
    </row>
    <row r="108" spans="2:21" ht="15" thickBot="1"/>
    <row r="109" spans="2:21">
      <c r="B109" s="59"/>
      <c r="C109" s="60"/>
      <c r="D109" s="60"/>
      <c r="E109" s="60"/>
      <c r="F109" s="60"/>
      <c r="G109" s="60"/>
      <c r="H109" s="60"/>
      <c r="I109" s="60"/>
      <c r="J109" s="60"/>
      <c r="K109" s="60"/>
      <c r="L109" s="60"/>
      <c r="M109" s="60"/>
      <c r="N109" s="60"/>
      <c r="O109" s="60"/>
      <c r="P109" s="60"/>
      <c r="Q109" s="60"/>
      <c r="R109" s="60"/>
      <c r="S109" s="60"/>
      <c r="T109" s="60"/>
      <c r="U109" s="61"/>
    </row>
    <row r="110" spans="2:21" ht="15.6">
      <c r="B110" s="62"/>
      <c r="C110" s="63" t="s">
        <v>52</v>
      </c>
      <c r="U110" s="64"/>
    </row>
    <row r="111" spans="2:21" ht="11.65" customHeight="1">
      <c r="B111" s="62"/>
      <c r="U111" s="64"/>
    </row>
    <row r="112" spans="2:21" ht="49.15" customHeight="1">
      <c r="B112" s="62"/>
      <c r="C112" s="309" t="s">
        <v>53</v>
      </c>
      <c r="D112" s="309"/>
      <c r="E112" s="309"/>
      <c r="F112" s="309"/>
      <c r="G112" s="309"/>
      <c r="H112" s="309"/>
      <c r="I112" s="309"/>
      <c r="J112" s="309"/>
      <c r="K112" s="309"/>
      <c r="L112" s="309"/>
      <c r="M112" s="309"/>
      <c r="N112" s="309"/>
      <c r="O112" s="309"/>
      <c r="P112" s="309"/>
      <c r="Q112" s="309"/>
      <c r="R112" s="309"/>
      <c r="S112" s="309"/>
      <c r="U112" s="64"/>
    </row>
    <row r="113" spans="2:21" ht="37.5" customHeight="1">
      <c r="B113" s="62"/>
      <c r="D113" s="313" t="s">
        <v>54</v>
      </c>
      <c r="E113" s="313"/>
      <c r="F113" s="313"/>
      <c r="G113" s="313"/>
      <c r="H113" s="313"/>
      <c r="I113" s="313"/>
      <c r="J113" s="313"/>
      <c r="K113" s="313"/>
      <c r="L113" s="313"/>
      <c r="M113" s="313"/>
      <c r="N113" s="313"/>
      <c r="O113" s="313"/>
      <c r="P113" s="313"/>
      <c r="Q113" s="313"/>
      <c r="R113" s="313"/>
      <c r="S113" s="313"/>
      <c r="U113" s="64"/>
    </row>
    <row r="114" spans="2:21" ht="52.5" customHeight="1">
      <c r="B114" s="62"/>
      <c r="D114" s="313" t="s">
        <v>55</v>
      </c>
      <c r="E114" s="313"/>
      <c r="F114" s="313"/>
      <c r="G114" s="313"/>
      <c r="H114" s="313"/>
      <c r="I114" s="313"/>
      <c r="J114" s="313"/>
      <c r="K114" s="313"/>
      <c r="L114" s="313"/>
      <c r="M114" s="313"/>
      <c r="N114" s="313"/>
      <c r="O114" s="313"/>
      <c r="P114" s="313"/>
      <c r="Q114" s="313"/>
      <c r="R114" s="313"/>
      <c r="S114" s="313"/>
      <c r="U114" s="64"/>
    </row>
    <row r="115" spans="2:21" ht="52.5" customHeight="1">
      <c r="B115" s="62"/>
      <c r="D115" s="313" t="s">
        <v>56</v>
      </c>
      <c r="E115" s="313"/>
      <c r="F115" s="313"/>
      <c r="G115" s="313"/>
      <c r="H115" s="313"/>
      <c r="I115" s="313"/>
      <c r="J115" s="313"/>
      <c r="K115" s="313"/>
      <c r="L115" s="313"/>
      <c r="M115" s="313"/>
      <c r="N115" s="313"/>
      <c r="O115" s="313"/>
      <c r="P115" s="313"/>
      <c r="Q115" s="313"/>
      <c r="R115" s="313"/>
      <c r="S115" s="313"/>
      <c r="U115" s="64"/>
    </row>
    <row r="116" spans="2:21" ht="16.149999999999999" customHeight="1">
      <c r="B116" s="62"/>
      <c r="C116" s="309" t="s">
        <v>57</v>
      </c>
      <c r="D116" s="309"/>
      <c r="E116" s="309"/>
      <c r="F116" s="309"/>
      <c r="G116" s="309"/>
      <c r="H116" s="309"/>
      <c r="I116" s="309"/>
      <c r="J116" s="309"/>
      <c r="K116" s="309"/>
      <c r="L116" s="309"/>
      <c r="M116" s="309"/>
      <c r="N116" s="309"/>
      <c r="O116" s="309"/>
      <c r="P116" s="309"/>
      <c r="Q116" s="309"/>
      <c r="R116" s="309"/>
      <c r="S116" s="309"/>
      <c r="U116" s="64"/>
    </row>
    <row r="117" spans="2:21" ht="34.15" customHeight="1">
      <c r="B117" s="62"/>
      <c r="D117" s="314" t="s">
        <v>58</v>
      </c>
      <c r="E117" s="314"/>
      <c r="F117" s="314"/>
      <c r="G117" s="314"/>
      <c r="H117" s="314"/>
      <c r="I117" s="314"/>
      <c r="J117" s="314"/>
      <c r="K117" s="314"/>
      <c r="L117" s="314"/>
      <c r="M117" s="314"/>
      <c r="N117" s="314"/>
      <c r="O117" s="314"/>
      <c r="P117" s="314"/>
      <c r="Q117" s="314"/>
      <c r="R117" s="314"/>
      <c r="S117" s="314"/>
      <c r="U117" s="64"/>
    </row>
    <row r="118" spans="2:21" ht="54.75" customHeight="1">
      <c r="B118" s="62"/>
      <c r="D118" s="314" t="s">
        <v>59</v>
      </c>
      <c r="E118" s="314"/>
      <c r="F118" s="314"/>
      <c r="G118" s="314"/>
      <c r="H118" s="314"/>
      <c r="I118" s="314"/>
      <c r="J118" s="314"/>
      <c r="K118" s="314"/>
      <c r="L118" s="314"/>
      <c r="M118" s="314"/>
      <c r="N118" s="314"/>
      <c r="O118" s="314"/>
      <c r="P118" s="314"/>
      <c r="Q118" s="314"/>
      <c r="R118" s="314"/>
      <c r="S118" s="314"/>
      <c r="U118" s="64"/>
    </row>
    <row r="119" spans="2:21" ht="16.149999999999999" customHeight="1" thickBot="1">
      <c r="B119" s="65"/>
      <c r="C119" s="66"/>
      <c r="D119" s="66"/>
      <c r="E119" s="66"/>
      <c r="F119" s="66"/>
      <c r="G119" s="66"/>
      <c r="H119" s="66"/>
      <c r="I119" s="66"/>
      <c r="J119" s="66"/>
      <c r="K119" s="66"/>
      <c r="L119" s="66"/>
      <c r="M119" s="66"/>
      <c r="N119" s="66"/>
      <c r="O119" s="66"/>
      <c r="P119" s="66"/>
      <c r="Q119" s="66"/>
      <c r="R119" s="66"/>
      <c r="S119" s="66"/>
      <c r="T119" s="66"/>
      <c r="U119" s="67"/>
    </row>
  </sheetData>
  <mergeCells count="37">
    <mergeCell ref="L84:O84"/>
    <mergeCell ref="D117:S117"/>
    <mergeCell ref="D118:S118"/>
    <mergeCell ref="D105:S105"/>
    <mergeCell ref="D106:S106"/>
    <mergeCell ref="C112:S112"/>
    <mergeCell ref="D113:S113"/>
    <mergeCell ref="D114:S114"/>
    <mergeCell ref="C116:S116"/>
    <mergeCell ref="D115:S115"/>
    <mergeCell ref="C101:S101"/>
    <mergeCell ref="D102:S102"/>
    <mergeCell ref="D103:S103"/>
    <mergeCell ref="C104:S104"/>
    <mergeCell ref="C88:S88"/>
    <mergeCell ref="C92:S92"/>
    <mergeCell ref="C96:S96"/>
    <mergeCell ref="C83:S83"/>
    <mergeCell ref="D75:S75"/>
    <mergeCell ref="D76:S76"/>
    <mergeCell ref="C6:S6"/>
    <mergeCell ref="C14:S14"/>
    <mergeCell ref="D26:S26"/>
    <mergeCell ref="C30:S30"/>
    <mergeCell ref="C55:S55"/>
    <mergeCell ref="D7:O7"/>
    <mergeCell ref="D9:O9"/>
    <mergeCell ref="D11:O11"/>
    <mergeCell ref="D74:S74"/>
    <mergeCell ref="D8:R8"/>
    <mergeCell ref="D72:R72"/>
    <mergeCell ref="C56:H56"/>
    <mergeCell ref="C60:S60"/>
    <mergeCell ref="C69:S69"/>
    <mergeCell ref="D10:G10"/>
    <mergeCell ref="H10:K10"/>
    <mergeCell ref="D12:H12"/>
  </mergeCells>
  <hyperlinks>
    <hyperlink ref="C56" r:id="rId1" display="Download Guidelines Here" xr:uid="{B58B39AB-2CAD-46C4-8E55-604F3CC1FA7E}"/>
    <hyperlink ref="D10:G10" r:id="rId2" display="Round 23 Program Guidelines" xr:uid="{6BA51E65-2251-4261-8E5C-E1E7A6D9A76E}"/>
    <hyperlink ref="H10:K10" r:id="rId3" display="CRCSAAFE Project Development Guidelines" xr:uid="{81699D2A-DADC-44DE-922E-164487FF9A01}"/>
    <hyperlink ref="D12:H12" r:id="rId4" display="•_x0009_CRC SAAFE Website &amp; Guidelines" xr:uid="{75B15A95-7E49-4E75-AC4A-C87E5B5E19D6}"/>
    <hyperlink ref="L84:O84" r:id="rId5" display="CRCSAAFE Project Development Guidelines" xr:uid="{7B404187-B1B0-49FB-8070-7C9825B35676}"/>
  </hyperlinks>
  <pageMargins left="0.7" right="0.7" top="0.75" bottom="0.75" header="0.3" footer="0.3"/>
  <pageSetup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032A0-D46A-4B36-BEFA-5C8DC1AD3030}">
  <sheetPr codeName="Sheet4">
    <pageSetUpPr fitToPage="1"/>
  </sheetPr>
  <dimension ref="B1:H35"/>
  <sheetViews>
    <sheetView showGridLines="0" zoomScaleNormal="100" workbookViewId="0">
      <selection activeCell="B17" sqref="B17"/>
    </sheetView>
  </sheetViews>
  <sheetFormatPr defaultColWidth="8.85546875" defaultRowHeight="12"/>
  <cols>
    <col min="1" max="1" width="3.42578125" style="42" customWidth="1"/>
    <col min="2" max="2" width="50.42578125" style="42" bestFit="1" customWidth="1"/>
    <col min="3" max="5" width="24.42578125" style="42" customWidth="1"/>
    <col min="6" max="6" width="28.42578125" style="42" customWidth="1"/>
    <col min="7" max="8" width="24.42578125" style="42" customWidth="1"/>
    <col min="9" max="9" width="3.42578125" style="42" customWidth="1"/>
    <col min="10" max="16384" width="8.85546875" style="42"/>
  </cols>
  <sheetData>
    <row r="1" spans="2:8" ht="14.65" customHeight="1"/>
    <row r="2" spans="2:8">
      <c r="B2" s="288"/>
      <c r="E2" s="122" t="s">
        <v>60</v>
      </c>
      <c r="F2" s="123"/>
      <c r="G2" s="289" t="s">
        <v>61</v>
      </c>
      <c r="H2" s="290" t="s">
        <v>62</v>
      </c>
    </row>
    <row r="3" spans="2:8" s="43" customFormat="1" ht="25.15" customHeight="1">
      <c r="B3" s="103" t="s">
        <v>63</v>
      </c>
      <c r="E3" s="291">
        <f>'Cash Budget - Projects'!C4</f>
        <v>0</v>
      </c>
      <c r="F3" s="292"/>
      <c r="G3" s="293">
        <f>'Cash Budget - Projects'!C5</f>
        <v>0</v>
      </c>
      <c r="H3" s="294">
        <f>'Cash Budget - Projects'!C6</f>
        <v>0</v>
      </c>
    </row>
    <row r="4" spans="2:8" ht="14.65" customHeight="1"/>
    <row r="5" spans="2:8">
      <c r="B5" s="22"/>
      <c r="C5" s="295" t="s">
        <v>64</v>
      </c>
      <c r="D5" s="295" t="s">
        <v>65</v>
      </c>
      <c r="E5" s="295" t="s">
        <v>66</v>
      </c>
      <c r="F5" s="295" t="s">
        <v>67</v>
      </c>
      <c r="G5" s="295" t="s">
        <v>68</v>
      </c>
      <c r="H5" s="296" t="str">
        <f>'Cash Contributions'!H50</f>
        <v>Total  [AU$]</v>
      </c>
    </row>
    <row r="6" spans="2:8">
      <c r="B6" s="22"/>
      <c r="C6" s="90"/>
      <c r="D6" s="90"/>
      <c r="E6" s="90"/>
      <c r="F6" s="90"/>
      <c r="G6" s="90"/>
      <c r="H6" s="90"/>
    </row>
    <row r="7" spans="2:8">
      <c r="B7" s="125" t="str">
        <f>'Cash Budget - Projects'!B44</f>
        <v>Total Cash Expenses</v>
      </c>
      <c r="C7" s="126"/>
      <c r="D7" s="126"/>
      <c r="E7" s="126"/>
      <c r="F7" s="126"/>
      <c r="G7" s="126"/>
      <c r="H7" s="127"/>
    </row>
    <row r="8" spans="2:8">
      <c r="B8" s="128" t="s">
        <v>69</v>
      </c>
      <c r="C8" s="129">
        <f>'Cash Budget - Projects'!$C46</f>
        <v>0</v>
      </c>
      <c r="D8" s="129">
        <f>'Cash Budget - Projects'!$D46</f>
        <v>0</v>
      </c>
      <c r="E8" s="129">
        <f>'Cash Budget - Projects'!$E46</f>
        <v>0</v>
      </c>
      <c r="F8" s="129">
        <f>'Cash Budget - Projects'!$F46</f>
        <v>0</v>
      </c>
      <c r="G8" s="130">
        <f>'Cash Budget - Projects'!$G46</f>
        <v>0</v>
      </c>
      <c r="H8" s="131">
        <f>'Cash Budget - Projects'!$H46</f>
        <v>0</v>
      </c>
    </row>
    <row r="9" spans="2:8" ht="12.6" thickBot="1">
      <c r="B9" s="36" t="str">
        <f>'Cash Budget - Projects'!B47</f>
        <v>Other Expenses (e.g., travel equipment, subcontractors etc)</v>
      </c>
      <c r="C9" s="37">
        <f>'Cash Budget - Projects'!$C47</f>
        <v>0</v>
      </c>
      <c r="D9" s="37">
        <f>'Cash Budget - Projects'!$D47</f>
        <v>0</v>
      </c>
      <c r="E9" s="37">
        <f>'Cash Budget - Projects'!$E47</f>
        <v>0</v>
      </c>
      <c r="F9" s="37">
        <f>'Cash Budget - Projects'!$F47</f>
        <v>0</v>
      </c>
      <c r="G9" s="38">
        <f>'Cash Budget - Projects'!$G47</f>
        <v>0</v>
      </c>
      <c r="H9" s="26">
        <f>SUM(C9:G9)</f>
        <v>0</v>
      </c>
    </row>
    <row r="10" spans="2:8" ht="12.6" thickTop="1">
      <c r="B10" s="297" t="str">
        <f>'Cash Budget - Projects'!B48</f>
        <v>Total</v>
      </c>
      <c r="C10" s="298">
        <f t="shared" ref="C10:H10" si="0">SUM(C8:C9)</f>
        <v>0</v>
      </c>
      <c r="D10" s="298">
        <f t="shared" si="0"/>
        <v>0</v>
      </c>
      <c r="E10" s="298">
        <f t="shared" si="0"/>
        <v>0</v>
      </c>
      <c r="F10" s="298">
        <f t="shared" si="0"/>
        <v>0</v>
      </c>
      <c r="G10" s="298">
        <f t="shared" si="0"/>
        <v>0</v>
      </c>
      <c r="H10" s="298">
        <f t="shared" si="0"/>
        <v>0</v>
      </c>
    </row>
    <row r="11" spans="2:8">
      <c r="B11" s="39"/>
      <c r="C11" s="41"/>
      <c r="D11" s="41"/>
      <c r="E11" s="41"/>
      <c r="F11" s="41"/>
      <c r="G11" s="41"/>
      <c r="H11" s="40"/>
    </row>
    <row r="12" spans="2:8">
      <c r="B12" s="132" t="str">
        <f>'Cash Contributions'!B49</f>
        <v>Total Cash Contributions</v>
      </c>
      <c r="C12" s="133"/>
      <c r="D12" s="133"/>
      <c r="E12" s="133"/>
      <c r="F12" s="133"/>
      <c r="G12" s="133"/>
      <c r="H12" s="134"/>
    </row>
    <row r="13" spans="2:8">
      <c r="B13" s="34" t="str">
        <f>'Cash Contributions'!B51</f>
        <v>Partner Cash Contributions</v>
      </c>
      <c r="C13" s="35">
        <f>'Cash Contributions'!$C51</f>
        <v>0</v>
      </c>
      <c r="D13" s="35">
        <f>'Cash Contributions'!$D51</f>
        <v>0</v>
      </c>
      <c r="E13" s="35">
        <f>'Cash Contributions'!$E51</f>
        <v>0</v>
      </c>
      <c r="F13" s="35">
        <f>'Cash Contributions'!$F51</f>
        <v>0</v>
      </c>
      <c r="G13" s="35">
        <f>'Cash Contributions'!$G51</f>
        <v>0</v>
      </c>
      <c r="H13" s="23">
        <f>'Cash Contributions'!$H51</f>
        <v>0</v>
      </c>
    </row>
    <row r="14" spans="2:8">
      <c r="B14" s="135" t="str">
        <f>'Cash Contributions'!B52</f>
        <v>Additional Partner Contributions</v>
      </c>
      <c r="C14" s="136">
        <f>'Cash Contributions'!$C52</f>
        <v>0</v>
      </c>
      <c r="D14" s="136">
        <f>'Cash Contributions'!$D52</f>
        <v>0</v>
      </c>
      <c r="E14" s="136">
        <f>'Cash Contributions'!$E52</f>
        <v>0</v>
      </c>
      <c r="F14" s="136">
        <f>'Cash Contributions'!$F52</f>
        <v>0</v>
      </c>
      <c r="G14" s="136">
        <f>'Cash Contributions'!$G52</f>
        <v>0</v>
      </c>
      <c r="H14" s="131">
        <f>'Cash Contributions'!$H52</f>
        <v>0</v>
      </c>
    </row>
    <row r="15" spans="2:8" ht="12.6" thickBot="1">
      <c r="B15" s="137" t="str">
        <f>'Cash Contributions'!B53</f>
        <v>CRC Contributions</v>
      </c>
      <c r="C15" s="138">
        <f>'Cash Budget - Projects'!C67</f>
        <v>0</v>
      </c>
      <c r="D15" s="138">
        <f>'Cash Budget - Projects'!D67</f>
        <v>0</v>
      </c>
      <c r="E15" s="138">
        <f>'Cash Budget - Projects'!E67</f>
        <v>0</v>
      </c>
      <c r="F15" s="138">
        <f>'Cash Budget - Projects'!F67</f>
        <v>0</v>
      </c>
      <c r="G15" s="138">
        <f>'Cash Budget - Projects'!G67</f>
        <v>0</v>
      </c>
      <c r="H15" s="138">
        <f>'Cash Budget - Projects'!H67</f>
        <v>0</v>
      </c>
    </row>
    <row r="16" spans="2:8" ht="12.6" thickTop="1">
      <c r="B16" s="24" t="str">
        <f>'Cash Contributions'!B54</f>
        <v>Total</v>
      </c>
      <c r="C16" s="25">
        <f>'Cash Contributions'!C54</f>
        <v>0</v>
      </c>
      <c r="D16" s="25">
        <f>'Cash Contributions'!D54</f>
        <v>0</v>
      </c>
      <c r="E16" s="25">
        <f>'Cash Contributions'!E54</f>
        <v>0</v>
      </c>
      <c r="F16" s="25">
        <f>'Cash Contributions'!F54</f>
        <v>0</v>
      </c>
      <c r="G16" s="25">
        <f>'Cash Contributions'!G54</f>
        <v>0</v>
      </c>
      <c r="H16" s="25">
        <f>'Cash Contributions'!H54</f>
        <v>0</v>
      </c>
    </row>
    <row r="17" spans="2:8">
      <c r="B17" s="39"/>
      <c r="C17" s="40"/>
      <c r="D17" s="40"/>
      <c r="E17" s="40"/>
      <c r="F17" s="40"/>
      <c r="G17" s="40"/>
      <c r="H17" s="40"/>
    </row>
    <row r="18" spans="2:8">
      <c r="B18" s="125" t="str">
        <f>'In-Kind Contributions'!B67</f>
        <v>Total Project In-Kind Contributions</v>
      </c>
      <c r="C18" s="126"/>
      <c r="D18" s="126"/>
      <c r="E18" s="126"/>
      <c r="F18" s="126"/>
      <c r="G18" s="126"/>
      <c r="H18" s="127"/>
    </row>
    <row r="19" spans="2:8">
      <c r="B19" s="139" t="str">
        <f>'In-Kind Contributions'!B69</f>
        <v>Total Staff In-Kind Contributions</v>
      </c>
      <c r="C19" s="140">
        <f>'In-Kind Contributions'!$C69</f>
        <v>0</v>
      </c>
      <c r="D19" s="140">
        <f>'In-Kind Contributions'!$D69</f>
        <v>0</v>
      </c>
      <c r="E19" s="140">
        <f>'In-Kind Contributions'!$E69</f>
        <v>0</v>
      </c>
      <c r="F19" s="140">
        <f>'In-Kind Contributions'!$F69</f>
        <v>0</v>
      </c>
      <c r="G19" s="141">
        <f>'In-Kind Contributions'!$G69</f>
        <v>0</v>
      </c>
      <c r="H19" s="142">
        <f>SUM(C19:G19)</f>
        <v>0</v>
      </c>
    </row>
    <row r="20" spans="2:8" ht="12.6" thickBot="1">
      <c r="B20" s="36" t="str">
        <f>'In-Kind Contributions'!B70</f>
        <v>Total Non-Staff In-Kind Contributions</v>
      </c>
      <c r="C20" s="37">
        <f>'In-Kind Contributions'!$C70</f>
        <v>0</v>
      </c>
      <c r="D20" s="37">
        <f>'In-Kind Contributions'!$D70</f>
        <v>0</v>
      </c>
      <c r="E20" s="37">
        <f>'In-Kind Contributions'!$E70</f>
        <v>0</v>
      </c>
      <c r="F20" s="37">
        <f>'In-Kind Contributions'!$F70</f>
        <v>0</v>
      </c>
      <c r="G20" s="37">
        <f>'In-Kind Contributions'!$G70</f>
        <v>0</v>
      </c>
      <c r="H20" s="142">
        <f t="shared" ref="H20:H21" si="1">SUM(C20:G20)</f>
        <v>0</v>
      </c>
    </row>
    <row r="21" spans="2:8" ht="12.6" thickTop="1">
      <c r="B21" s="143" t="str">
        <f>'In-Kind Contributions'!B71</f>
        <v>Total</v>
      </c>
      <c r="C21" s="144">
        <f>'In-Kind Contributions'!$C71</f>
        <v>0</v>
      </c>
      <c r="D21" s="144">
        <f>'In-Kind Contributions'!$D71</f>
        <v>0</v>
      </c>
      <c r="E21" s="144">
        <f>'In-Kind Contributions'!$E71</f>
        <v>0</v>
      </c>
      <c r="F21" s="144">
        <f>'In-Kind Contributions'!$F71</f>
        <v>0</v>
      </c>
      <c r="G21" s="144">
        <f>'In-Kind Contributions'!$G71</f>
        <v>0</v>
      </c>
      <c r="H21" s="142">
        <f t="shared" si="1"/>
        <v>0</v>
      </c>
    </row>
    <row r="22" spans="2:8">
      <c r="B22" s="39"/>
      <c r="C22" s="41"/>
      <c r="D22" s="41"/>
      <c r="E22" s="41"/>
      <c r="F22" s="41"/>
      <c r="G22" s="41"/>
      <c r="H22" s="40"/>
    </row>
    <row r="23" spans="2:8" ht="12.6" thickBot="1">
      <c r="B23" s="45" t="s">
        <v>70</v>
      </c>
      <c r="C23" s="46"/>
      <c r="D23" s="46"/>
      <c r="E23" s="46"/>
      <c r="F23" s="46"/>
      <c r="G23" s="46"/>
      <c r="H23" s="145"/>
    </row>
    <row r="24" spans="2:8" ht="12.6" thickTop="1">
      <c r="B24" s="299" t="s">
        <v>71</v>
      </c>
      <c r="C24" s="300">
        <f>SUM(C16,C21)</f>
        <v>0</v>
      </c>
      <c r="D24" s="300">
        <f t="shared" ref="D24:H24" si="2">SUM(D16,D21)</f>
        <v>0</v>
      </c>
      <c r="E24" s="300">
        <f t="shared" si="2"/>
        <v>0</v>
      </c>
      <c r="F24" s="300">
        <f t="shared" si="2"/>
        <v>0</v>
      </c>
      <c r="G24" s="301">
        <f t="shared" si="2"/>
        <v>0</v>
      </c>
      <c r="H24" s="302">
        <f t="shared" si="2"/>
        <v>0</v>
      </c>
    </row>
    <row r="25" spans="2:8">
      <c r="B25" s="39"/>
      <c r="C25" s="41"/>
      <c r="D25" s="41"/>
      <c r="E25" s="41"/>
      <c r="F25" s="41"/>
      <c r="G25" s="41"/>
      <c r="H25" s="40"/>
    </row>
    <row r="26" spans="2:8" hidden="1">
      <c r="B26" s="146" t="str">
        <f>'Cash Budget - Projects'!B59</f>
        <v>Cash Balance (Partner contributions in agreement should be at least 50% of project expenditure)</v>
      </c>
      <c r="C26" s="147"/>
      <c r="D26" s="147"/>
      <c r="E26" s="147"/>
      <c r="F26" s="147"/>
      <c r="G26" s="147"/>
      <c r="H26" s="148"/>
    </row>
    <row r="27" spans="2:8" hidden="1">
      <c r="B27" s="143" t="str">
        <f>'Cash Budget - Projects'!B61</f>
        <v>Total Expenditure</v>
      </c>
      <c r="C27" s="144">
        <f>'Cash Budget - Projects'!C61</f>
        <v>0</v>
      </c>
      <c r="D27" s="144">
        <f>'Cash Budget - Projects'!D61</f>
        <v>0</v>
      </c>
      <c r="E27" s="144">
        <f>'Cash Budget - Projects'!E61</f>
        <v>0</v>
      </c>
      <c r="F27" s="144">
        <f>'Cash Budget - Projects'!F61</f>
        <v>0</v>
      </c>
      <c r="G27" s="144">
        <f>'Cash Budget - Projects'!G61</f>
        <v>0</v>
      </c>
      <c r="H27" s="131">
        <f>'Cash Budget - Projects'!H61</f>
        <v>0</v>
      </c>
    </row>
    <row r="28" spans="2:8" hidden="1">
      <c r="B28" s="143" t="str">
        <f>'Cash Budget - Projects'!B66</f>
        <v>Max CRC Funding Component</v>
      </c>
      <c r="C28" s="144">
        <f>'Cash Budget - Projects'!C66</f>
        <v>0</v>
      </c>
      <c r="D28" s="144">
        <f>'Cash Budget - Projects'!D66</f>
        <v>0</v>
      </c>
      <c r="E28" s="144">
        <f>'Cash Budget - Projects'!E66</f>
        <v>0</v>
      </c>
      <c r="F28" s="144">
        <f>'Cash Budget - Projects'!F66</f>
        <v>0</v>
      </c>
      <c r="G28" s="144">
        <f>'Cash Budget - Projects'!G66</f>
        <v>0</v>
      </c>
      <c r="H28" s="144">
        <f>'Cash Budget - Projects'!H66</f>
        <v>0</v>
      </c>
    </row>
    <row r="29" spans="2:8" hidden="1">
      <c r="B29" s="149" t="str">
        <f>'Cash Budget - Projects'!B67</f>
        <v>CRC Remainder (less partner contributions)</v>
      </c>
      <c r="C29" s="150">
        <f>'Cash Budget - Projects'!C67</f>
        <v>0</v>
      </c>
      <c r="D29" s="150">
        <f>'Cash Budget - Projects'!D67</f>
        <v>0</v>
      </c>
      <c r="E29" s="150">
        <f>'Cash Budget - Projects'!E67</f>
        <v>0</v>
      </c>
      <c r="F29" s="150">
        <f>'Cash Budget - Projects'!F67</f>
        <v>0</v>
      </c>
      <c r="G29" s="150">
        <f>'Cash Budget - Projects'!G67</f>
        <v>0</v>
      </c>
      <c r="H29" s="150">
        <f>'Cash Budget - Projects'!H67</f>
        <v>0</v>
      </c>
    </row>
    <row r="30" spans="2:8" hidden="1">
      <c r="B30" s="151" t="s">
        <v>72</v>
      </c>
      <c r="C30" s="152">
        <f>'Cash Budget - Projects'!C56</f>
        <v>0</v>
      </c>
      <c r="D30" s="152">
        <f>'Cash Budget - Projects'!D56</f>
        <v>0</v>
      </c>
      <c r="E30" s="152">
        <f>'Cash Budget - Projects'!E56</f>
        <v>0</v>
      </c>
      <c r="F30" s="152">
        <f>'Cash Budget - Projects'!F56</f>
        <v>0</v>
      </c>
      <c r="G30" s="152">
        <f>'Cash Budget - Projects'!G56</f>
        <v>0</v>
      </c>
      <c r="H30" s="153">
        <f>'Cash Budget - Projects'!H56</f>
        <v>0</v>
      </c>
    </row>
    <row r="31" spans="2:8">
      <c r="C31" s="22"/>
      <c r="D31" s="22"/>
      <c r="E31" s="22"/>
      <c r="F31" s="154" t="s">
        <v>73</v>
      </c>
      <c r="G31" s="155"/>
      <c r="H31" s="156" t="str">
        <f>'Cash Budget - Projects'!H68</f>
        <v>Within Funding Parameters</v>
      </c>
    </row>
    <row r="32" spans="2:8" s="44" customFormat="1">
      <c r="B32" s="49"/>
      <c r="C32" s="22"/>
      <c r="D32" s="22"/>
      <c r="E32" s="22"/>
      <c r="F32" s="22"/>
      <c r="G32" s="22"/>
      <c r="H32" s="47" t="str">
        <f>IFERROR(IF($H31="Outside Funding Parameters","We'd expect the CRC to provide no more cash funding than 50% of costs and not more than the industry partners",""),"")</f>
        <v/>
      </c>
    </row>
    <row r="33" spans="3:8">
      <c r="C33" s="48"/>
      <c r="D33" s="48"/>
      <c r="E33" s="48"/>
      <c r="F33" s="157" t="s">
        <v>74</v>
      </c>
      <c r="G33" s="158"/>
      <c r="H33" s="159" t="str">
        <f>'Cash Contributions'!G60</f>
        <v/>
      </c>
    </row>
    <row r="34" spans="3:8" ht="14.65" customHeight="1">
      <c r="H34" s="47" t="str">
        <f>IFERROR(IF(_xlfn.NUMBERVALUE(RIGHT($H$33,4))&lt;2,"We expect In-Kind contributions to be at least 2 x greater than cash contributions",""),"")</f>
        <v>We expect In-Kind contributions to be at least 2 x greater than cash contributions</v>
      </c>
    </row>
    <row r="35" spans="3:8" ht="55.5" customHeight="1">
      <c r="C35" s="74" t="str">
        <f>IF(AND(C10&gt;0,C15=0),"CRC contribution won't calculate until leveraged industry partner contributions are 50% or greater of total expenditure","")</f>
        <v/>
      </c>
      <c r="D35" s="74" t="str">
        <f t="shared" ref="D35:H35" si="3">IF(AND(D10&gt;0,D15=0),"CRC contribution won't calculate until leveraged industry partner contributions are 50% or greater of total expenditure","")</f>
        <v/>
      </c>
      <c r="E35" s="74" t="str">
        <f t="shared" si="3"/>
        <v/>
      </c>
      <c r="F35" s="74" t="str">
        <f t="shared" si="3"/>
        <v/>
      </c>
      <c r="G35" s="74" t="str">
        <f t="shared" si="3"/>
        <v/>
      </c>
      <c r="H35" s="74" t="str">
        <f t="shared" si="3"/>
        <v/>
      </c>
    </row>
  </sheetData>
  <conditionalFormatting sqref="C13:C14">
    <cfRule type="expression" dxfId="185" priority="74">
      <formula>$C$115="Within Funding Parameters"</formula>
    </cfRule>
    <cfRule type="expression" dxfId="184" priority="76">
      <formula>$C$115="Outside Funding Parameters"</formula>
    </cfRule>
  </conditionalFormatting>
  <conditionalFormatting sqref="C31">
    <cfRule type="expression" dxfId="183" priority="15">
      <formula>$C$31="outside funding parameters"</formula>
    </cfRule>
    <cfRule type="expression" dxfId="182" priority="16">
      <formula>$C$31="within funding parameters"</formula>
    </cfRule>
  </conditionalFormatting>
  <conditionalFormatting sqref="C15:H15">
    <cfRule type="expression" dxfId="181" priority="62">
      <formula>$C$115="Within Funding Parameters"</formula>
    </cfRule>
    <cfRule type="expression" dxfId="180" priority="64">
      <formula>$C$115="Outside Funding Parameters"</formula>
    </cfRule>
  </conditionalFormatting>
  <conditionalFormatting sqref="D13:D14">
    <cfRule type="expression" dxfId="179" priority="73">
      <formula>$D$115="outside funding parameters"</formula>
    </cfRule>
    <cfRule type="expression" dxfId="178" priority="75">
      <formula>$D$115="within funding parameters"</formula>
    </cfRule>
  </conditionalFormatting>
  <conditionalFormatting sqref="D31">
    <cfRule type="expression" dxfId="177" priority="13">
      <formula>$D$31="within funding parameters"</formula>
    </cfRule>
    <cfRule type="expression" dxfId="176" priority="14">
      <formula>$D$31="outside funding parameters"</formula>
    </cfRule>
  </conditionalFormatting>
  <conditionalFormatting sqref="E13:E14">
    <cfRule type="expression" dxfId="175" priority="71">
      <formula>$E$115="within funding parameters"</formula>
    </cfRule>
    <cfRule type="expression" dxfId="174" priority="72">
      <formula>$E$115="outside funding parameters"</formula>
    </cfRule>
  </conditionalFormatting>
  <conditionalFormatting sqref="E31">
    <cfRule type="expression" dxfId="173" priority="11">
      <formula>$E$31="outside funding parameters"</formula>
    </cfRule>
    <cfRule type="expression" dxfId="172" priority="12">
      <formula>$E$31="within funding parameters"</formula>
    </cfRule>
  </conditionalFormatting>
  <conditionalFormatting sqref="F13:F14">
    <cfRule type="expression" dxfId="171" priority="69">
      <formula>$F$115="within funding parameters"</formula>
    </cfRule>
    <cfRule type="expression" dxfId="170" priority="70">
      <formula>$F$115="outside funding parameters"</formula>
    </cfRule>
  </conditionalFormatting>
  <conditionalFormatting sqref="G13:G14">
    <cfRule type="expression" dxfId="169" priority="67">
      <formula>$G$115="within funding parameters"</formula>
    </cfRule>
    <cfRule type="expression" dxfId="168" priority="68">
      <formula>$G$115="outside funding parameters"</formula>
    </cfRule>
  </conditionalFormatting>
  <conditionalFormatting sqref="H13:H14">
    <cfRule type="expression" dxfId="167" priority="65">
      <formula>$H$115="within funding parameters"</formula>
    </cfRule>
    <cfRule type="expression" dxfId="166" priority="66">
      <formula>$H$115="outside funding parameters"</formula>
    </cfRule>
  </conditionalFormatting>
  <conditionalFormatting sqref="H31">
    <cfRule type="expression" dxfId="165" priority="5">
      <formula>$H$31="within funding parameters"</formula>
    </cfRule>
    <cfRule type="expression" dxfId="164" priority="6">
      <formula>$H$31="outside funding parameters"</formula>
    </cfRule>
  </conditionalFormatting>
  <conditionalFormatting sqref="H32">
    <cfRule type="cellIs" dxfId="163" priority="3" operator="equal">
      <formula>"Outside Funding Parameters"</formula>
    </cfRule>
    <cfRule type="cellIs" dxfId="162" priority="4" operator="equal">
      <formula>"Within Funding Parameters"</formula>
    </cfRule>
  </conditionalFormatting>
  <conditionalFormatting sqref="H33">
    <cfRule type="expression" dxfId="161" priority="17">
      <formula>AND(H33&lt;&gt;"",_xlfn.NUMBERVALUE(RIGHT($H$33,4))&lt;2)</formula>
    </cfRule>
    <cfRule type="expression" dxfId="160" priority="18">
      <formula>_xlfn.NUMBERVALUE(RIGHT($H$33,4))&gt;=2</formula>
    </cfRule>
  </conditionalFormatting>
  <conditionalFormatting sqref="H34">
    <cfRule type="cellIs" dxfId="159" priority="1" operator="equal">
      <formula>"Outside Funding Parameters"</formula>
    </cfRule>
    <cfRule type="cellIs" dxfId="158" priority="2" operator="equal">
      <formula>"Within Funding Parameters"</formula>
    </cfRule>
  </conditionalFormatting>
  <pageMargins left="0.25" right="0.25" top="0.75" bottom="0.75" header="0.3" footer="0.3"/>
  <pageSetup paperSize="9"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77FA-2929-4AB7-819B-99B0BA8DFF90}">
  <sheetPr codeName="Sheet1"/>
  <dimension ref="A1:U75"/>
  <sheetViews>
    <sheetView showGridLines="0" zoomScale="70" zoomScaleNormal="70" workbookViewId="0">
      <selection activeCell="H68" sqref="H68"/>
    </sheetView>
  </sheetViews>
  <sheetFormatPr defaultColWidth="8.85546875" defaultRowHeight="14.45"/>
  <cols>
    <col min="1" max="1" width="2.42578125" style="83" customWidth="1"/>
    <col min="2" max="2" width="37.42578125" style="5" customWidth="1"/>
    <col min="3" max="3" width="44.85546875" style="5" bestFit="1" customWidth="1"/>
    <col min="4" max="4" width="23.140625" style="5" customWidth="1"/>
    <col min="5" max="5" width="20.42578125" style="5" customWidth="1"/>
    <col min="6" max="6" width="26.140625" style="5" customWidth="1"/>
    <col min="7" max="7" width="20.5703125" style="5" customWidth="1"/>
    <col min="8" max="8" width="26.140625" style="5" customWidth="1"/>
    <col min="9" max="9" width="21.42578125" style="5" customWidth="1"/>
    <col min="10" max="10" width="26.140625" style="5" customWidth="1"/>
    <col min="11" max="11" width="21.85546875" style="5" customWidth="1"/>
    <col min="12" max="12" width="26.140625" style="5" customWidth="1"/>
    <col min="13" max="13" width="22.42578125" style="5" customWidth="1"/>
    <col min="14" max="14" width="26.140625" style="5" customWidth="1"/>
    <col min="15" max="15" width="26.42578125" style="5" customWidth="1"/>
    <col min="16" max="16" width="23.5703125" style="5" customWidth="1"/>
    <col min="17" max="17" width="14.85546875" style="5" hidden="1" customWidth="1"/>
    <col min="18" max="18" width="0" hidden="1" customWidth="1"/>
    <col min="19" max="19" width="15.140625" style="5" hidden="1" customWidth="1"/>
    <col min="20" max="20" width="12.42578125" style="5" customWidth="1"/>
    <col min="21" max="21" width="13.42578125" style="5" customWidth="1"/>
    <col min="22" max="16384" width="8.85546875" style="5"/>
  </cols>
  <sheetData>
    <row r="1" spans="1:21">
      <c r="G1" s="8"/>
      <c r="H1" s="8"/>
    </row>
    <row r="2" spans="1:21" s="21" customFormat="1" ht="14.1">
      <c r="A2" s="82"/>
      <c r="B2" s="160" t="s">
        <v>75</v>
      </c>
      <c r="C2" s="20"/>
      <c r="D2" s="161" t="s">
        <v>76</v>
      </c>
      <c r="E2" s="162"/>
      <c r="G2" s="8"/>
      <c r="H2" s="8"/>
    </row>
    <row r="3" spans="1:21" s="8" customFormat="1" ht="12.95">
      <c r="A3" s="82"/>
    </row>
    <row r="4" spans="1:21" s="8" customFormat="1" ht="14.1">
      <c r="A4" s="82"/>
      <c r="B4" s="163" t="s">
        <v>60</v>
      </c>
      <c r="C4" s="164"/>
      <c r="D4" s="165"/>
      <c r="E4" s="165"/>
      <c r="F4" s="166"/>
    </row>
    <row r="5" spans="1:21" s="8" customFormat="1" ht="12.95">
      <c r="A5" s="82"/>
      <c r="B5" s="163" t="s">
        <v>61</v>
      </c>
      <c r="C5" s="167"/>
      <c r="D5" s="165"/>
      <c r="E5" s="165"/>
      <c r="F5" s="166"/>
    </row>
    <row r="6" spans="1:21" s="8" customFormat="1" ht="12.95">
      <c r="A6" s="82"/>
      <c r="B6" s="163" t="s">
        <v>62</v>
      </c>
      <c r="C6" s="168"/>
      <c r="D6" s="165"/>
      <c r="E6" s="165"/>
      <c r="F6" s="166"/>
    </row>
    <row r="7" spans="1:21" s="8" customFormat="1" ht="12.95">
      <c r="A7" s="82"/>
    </row>
    <row r="8" spans="1:21" s="8" customFormat="1" ht="14.1">
      <c r="A8" s="82"/>
      <c r="B8" s="169" t="s">
        <v>77</v>
      </c>
    </row>
    <row r="10" spans="1:21">
      <c r="B10" s="170" t="s">
        <v>78</v>
      </c>
      <c r="C10" s="171"/>
      <c r="D10" s="172"/>
      <c r="E10" s="172"/>
      <c r="F10" s="172"/>
      <c r="G10" s="173"/>
      <c r="H10" s="172"/>
      <c r="I10" s="172"/>
      <c r="J10" s="172"/>
      <c r="K10" s="174"/>
      <c r="L10" s="172"/>
      <c r="M10" s="172"/>
      <c r="N10" s="172"/>
      <c r="O10" s="172"/>
      <c r="P10" s="175"/>
      <c r="Q10" s="94"/>
      <c r="S10" s="94"/>
      <c r="T10" s="94"/>
      <c r="U10" s="94"/>
    </row>
    <row r="11" spans="1:21" ht="14.65" customHeight="1">
      <c r="B11" s="95"/>
      <c r="C11" s="95"/>
      <c r="D11" s="95"/>
      <c r="E11" s="323" t="s">
        <v>64</v>
      </c>
      <c r="F11" s="324"/>
      <c r="G11" s="323" t="s">
        <v>65</v>
      </c>
      <c r="H11" s="324"/>
      <c r="I11" s="323" t="s">
        <v>66</v>
      </c>
      <c r="J11" s="324"/>
      <c r="K11" s="321" t="s">
        <v>67</v>
      </c>
      <c r="L11" s="321"/>
      <c r="M11" s="323" t="s">
        <v>68</v>
      </c>
      <c r="N11" s="324"/>
      <c r="O11" s="318" t="s">
        <v>71</v>
      </c>
      <c r="P11" s="319"/>
      <c r="Q11" s="5" t="s">
        <v>79</v>
      </c>
    </row>
    <row r="12" spans="1:21" ht="14.65" customHeight="1">
      <c r="B12" s="95"/>
      <c r="C12" s="95"/>
      <c r="D12" s="95"/>
      <c r="E12" s="325"/>
      <c r="F12" s="354"/>
      <c r="G12" s="325"/>
      <c r="H12" s="354"/>
      <c r="I12" s="325"/>
      <c r="J12" s="354"/>
      <c r="K12" s="322"/>
      <c r="L12" s="322"/>
      <c r="M12" s="325"/>
      <c r="N12" s="354"/>
      <c r="O12" s="320"/>
      <c r="P12" s="355"/>
    </row>
    <row r="13" spans="1:21" s="6" customFormat="1" ht="38.25" customHeight="1">
      <c r="A13" s="83"/>
      <c r="B13" s="117" t="s">
        <v>80</v>
      </c>
      <c r="C13" s="176" t="s">
        <v>81</v>
      </c>
      <c r="D13" s="177" t="s">
        <v>82</v>
      </c>
      <c r="E13" s="177" t="s">
        <v>83</v>
      </c>
      <c r="F13" s="116" t="s">
        <v>84</v>
      </c>
      <c r="G13" s="177" t="s">
        <v>85</v>
      </c>
      <c r="H13" s="116" t="s">
        <v>86</v>
      </c>
      <c r="I13" s="177" t="s">
        <v>87</v>
      </c>
      <c r="J13" s="116" t="s">
        <v>88</v>
      </c>
      <c r="K13" s="177" t="s">
        <v>89</v>
      </c>
      <c r="L13" s="116" t="s">
        <v>90</v>
      </c>
      <c r="M13" s="177" t="s">
        <v>91</v>
      </c>
      <c r="N13" s="116" t="s">
        <v>92</v>
      </c>
      <c r="O13" s="177" t="s">
        <v>93</v>
      </c>
      <c r="P13" s="177" t="s">
        <v>94</v>
      </c>
      <c r="Q13" s="6" t="s">
        <v>95</v>
      </c>
      <c r="R13" s="6" t="s">
        <v>96</v>
      </c>
      <c r="S13" s="6" t="s">
        <v>97</v>
      </c>
    </row>
    <row r="14" spans="1:21" s="50" customFormat="1" ht="30" customHeight="1">
      <c r="A14" s="84" t="s">
        <v>78</v>
      </c>
      <c r="B14" s="118"/>
      <c r="C14" s="178"/>
      <c r="D14" s="178"/>
      <c r="E14" s="179"/>
      <c r="F14" s="180"/>
      <c r="G14" s="181"/>
      <c r="H14" s="180"/>
      <c r="I14" s="181"/>
      <c r="J14" s="180"/>
      <c r="K14" s="181"/>
      <c r="L14" s="180"/>
      <c r="M14" s="181"/>
      <c r="N14" s="180"/>
      <c r="O14" s="182">
        <f>M14+K14+I14+G14+E14</f>
        <v>0</v>
      </c>
      <c r="P14" s="183">
        <f>N14+L14+J14+H14+F14</f>
        <v>0</v>
      </c>
      <c r="Q14" s="50">
        <f>IF(M14&gt;0,AVERAGE(M14,K14,I14,G14,E14),IF(K14&gt;0,AVERAGE(K14,I14,G14,E14),IF(I14&gt;0,AVERAGE(I14,G14,E14),IF(G14&gt;0,AVERAGE(G14,E14),E14))))</f>
        <v>0</v>
      </c>
      <c r="R14" s="50">
        <f>IF(N14&gt;0,AVERAGE(N14,L14,J14,H14,F14),IF(L14&gt;0,AVERAGE(L14,J14,H14,F14),IF(J14&gt;0,AVERAGE(J14,H14,F14),IF(H14&gt;0,AVERAGE(H14,F14),F14))))</f>
        <v>0</v>
      </c>
      <c r="S14" s="98" t="e">
        <f>R14/Q14</f>
        <v>#DIV/0!</v>
      </c>
    </row>
    <row r="15" spans="1:21" s="50" customFormat="1" ht="30" customHeight="1">
      <c r="A15" s="84" t="s">
        <v>78</v>
      </c>
      <c r="B15" s="118"/>
      <c r="C15" s="178"/>
      <c r="D15" s="178"/>
      <c r="E15" s="179"/>
      <c r="F15" s="180"/>
      <c r="G15" s="181"/>
      <c r="H15" s="180"/>
      <c r="I15" s="181"/>
      <c r="J15" s="180"/>
      <c r="K15" s="181"/>
      <c r="L15" s="180"/>
      <c r="M15" s="181"/>
      <c r="N15" s="180"/>
      <c r="O15" s="182">
        <f t="shared" ref="O15:O20" si="0">M15+K15+I15+G15+E15</f>
        <v>0</v>
      </c>
      <c r="P15" s="183">
        <f t="shared" ref="P15:P20" si="1">N15+L15+J15+H15+F15</f>
        <v>0</v>
      </c>
      <c r="Q15" s="50">
        <f t="shared" ref="Q15:Q21" si="2">IF(M15&gt;0,AVERAGE(M15,K15,I15,G15,E15),IF(K15&gt;0,AVERAGE(K15,I15,G15,E15),IF(I15&gt;0,AVERAGE(I15,G15,E15),IF(G15&gt;0,AVERAGE(G15,E15),E15))))</f>
        <v>0</v>
      </c>
      <c r="R15" s="50">
        <f t="shared" ref="R15:R21" si="3">IF(N15&gt;0,AVERAGE(N15,L15,J15,H15,F15),IF(L15&gt;0,AVERAGE(L15,J15,H15,F15),IF(J15&gt;0,AVERAGE(J15,H15,F15),IF(H15&gt;0,AVERAGE(H15,F15),F15))))</f>
        <v>0</v>
      </c>
      <c r="S15" s="98" t="e">
        <f t="shared" ref="S15:S21" si="4">R15/Q15</f>
        <v>#DIV/0!</v>
      </c>
    </row>
    <row r="16" spans="1:21" s="50" customFormat="1" ht="30" customHeight="1">
      <c r="A16" s="84" t="s">
        <v>78</v>
      </c>
      <c r="B16" s="118"/>
      <c r="C16" s="178"/>
      <c r="D16" s="178"/>
      <c r="E16" s="179"/>
      <c r="F16" s="180"/>
      <c r="G16" s="181"/>
      <c r="H16" s="180"/>
      <c r="I16" s="181"/>
      <c r="J16" s="180"/>
      <c r="K16" s="181"/>
      <c r="L16" s="180"/>
      <c r="M16" s="181"/>
      <c r="N16" s="180"/>
      <c r="O16" s="182">
        <f t="shared" si="0"/>
        <v>0</v>
      </c>
      <c r="P16" s="183">
        <f t="shared" si="1"/>
        <v>0</v>
      </c>
      <c r="Q16" s="50">
        <f t="shared" si="2"/>
        <v>0</v>
      </c>
      <c r="R16" s="50">
        <f t="shared" si="3"/>
        <v>0</v>
      </c>
      <c r="S16" s="98" t="e">
        <f t="shared" si="4"/>
        <v>#DIV/0!</v>
      </c>
    </row>
    <row r="17" spans="1:19" s="50" customFormat="1" ht="30" customHeight="1">
      <c r="A17" s="84" t="s">
        <v>78</v>
      </c>
      <c r="B17" s="118"/>
      <c r="C17" s="178"/>
      <c r="D17" s="178"/>
      <c r="E17" s="179"/>
      <c r="F17" s="180"/>
      <c r="G17" s="181"/>
      <c r="H17" s="180"/>
      <c r="I17" s="181"/>
      <c r="J17" s="180"/>
      <c r="K17" s="181"/>
      <c r="L17" s="180"/>
      <c r="M17" s="181"/>
      <c r="N17" s="180"/>
      <c r="O17" s="182">
        <f t="shared" si="0"/>
        <v>0</v>
      </c>
      <c r="P17" s="183">
        <f t="shared" si="1"/>
        <v>0</v>
      </c>
      <c r="Q17" s="50">
        <f t="shared" si="2"/>
        <v>0</v>
      </c>
      <c r="R17" s="50">
        <f t="shared" si="3"/>
        <v>0</v>
      </c>
      <c r="S17" s="98" t="e">
        <f t="shared" si="4"/>
        <v>#DIV/0!</v>
      </c>
    </row>
    <row r="18" spans="1:19" s="50" customFormat="1" ht="30" customHeight="1">
      <c r="A18" s="84" t="s">
        <v>78</v>
      </c>
      <c r="B18" s="118"/>
      <c r="C18" s="178"/>
      <c r="D18" s="178"/>
      <c r="E18" s="179"/>
      <c r="F18" s="180"/>
      <c r="G18" s="181"/>
      <c r="H18" s="180"/>
      <c r="I18" s="181"/>
      <c r="J18" s="180"/>
      <c r="K18" s="181"/>
      <c r="L18" s="180"/>
      <c r="M18" s="181"/>
      <c r="N18" s="180"/>
      <c r="O18" s="182">
        <f t="shared" si="0"/>
        <v>0</v>
      </c>
      <c r="P18" s="183">
        <f t="shared" si="1"/>
        <v>0</v>
      </c>
      <c r="Q18" s="50">
        <f t="shared" si="2"/>
        <v>0</v>
      </c>
      <c r="R18" s="50">
        <f t="shared" si="3"/>
        <v>0</v>
      </c>
      <c r="S18" s="98" t="e">
        <f t="shared" si="4"/>
        <v>#DIV/0!</v>
      </c>
    </row>
    <row r="19" spans="1:19" s="50" customFormat="1" ht="30" customHeight="1">
      <c r="A19" s="84" t="s">
        <v>78</v>
      </c>
      <c r="B19" s="118"/>
      <c r="C19" s="178"/>
      <c r="D19" s="178"/>
      <c r="E19" s="179"/>
      <c r="F19" s="180"/>
      <c r="G19" s="181"/>
      <c r="H19" s="180"/>
      <c r="I19" s="181"/>
      <c r="J19" s="180"/>
      <c r="K19" s="181"/>
      <c r="L19" s="180"/>
      <c r="M19" s="181"/>
      <c r="N19" s="180"/>
      <c r="O19" s="182">
        <f t="shared" si="0"/>
        <v>0</v>
      </c>
      <c r="P19" s="183">
        <f t="shared" si="1"/>
        <v>0</v>
      </c>
      <c r="Q19" s="50">
        <f t="shared" si="2"/>
        <v>0</v>
      </c>
      <c r="R19" s="50">
        <f t="shared" si="3"/>
        <v>0</v>
      </c>
      <c r="S19" s="98" t="e">
        <f t="shared" si="4"/>
        <v>#DIV/0!</v>
      </c>
    </row>
    <row r="20" spans="1:19" s="50" customFormat="1" ht="30" customHeight="1">
      <c r="A20" s="84" t="s">
        <v>78</v>
      </c>
      <c r="B20" s="118"/>
      <c r="C20" s="178"/>
      <c r="D20" s="178"/>
      <c r="E20" s="179"/>
      <c r="F20" s="180"/>
      <c r="G20" s="181"/>
      <c r="H20" s="180"/>
      <c r="I20" s="181"/>
      <c r="J20" s="180"/>
      <c r="K20" s="181"/>
      <c r="L20" s="180"/>
      <c r="M20" s="181"/>
      <c r="N20" s="180"/>
      <c r="O20" s="182">
        <f t="shared" si="0"/>
        <v>0</v>
      </c>
      <c r="P20" s="183">
        <f t="shared" si="1"/>
        <v>0</v>
      </c>
      <c r="Q20" s="50">
        <f t="shared" si="2"/>
        <v>0</v>
      </c>
      <c r="R20" s="50">
        <f t="shared" si="3"/>
        <v>0</v>
      </c>
      <c r="S20" s="98" t="e">
        <f t="shared" si="4"/>
        <v>#DIV/0!</v>
      </c>
    </row>
    <row r="21" spans="1:19" s="7" customFormat="1" ht="20.25" customHeight="1">
      <c r="A21" s="85"/>
      <c r="B21" s="184" t="s">
        <v>71</v>
      </c>
      <c r="C21" s="185"/>
      <c r="D21" s="184"/>
      <c r="E21" s="186">
        <f t="shared" ref="E21:P21" si="5">SUM(E14:E20)</f>
        <v>0</v>
      </c>
      <c r="F21" s="187">
        <f t="shared" si="5"/>
        <v>0</v>
      </c>
      <c r="G21" s="186">
        <f t="shared" si="5"/>
        <v>0</v>
      </c>
      <c r="H21" s="187">
        <f t="shared" si="5"/>
        <v>0</v>
      </c>
      <c r="I21" s="186">
        <f t="shared" si="5"/>
        <v>0</v>
      </c>
      <c r="J21" s="187">
        <f t="shared" si="5"/>
        <v>0</v>
      </c>
      <c r="K21" s="186">
        <f t="shared" si="5"/>
        <v>0</v>
      </c>
      <c r="L21" s="187">
        <f t="shared" si="5"/>
        <v>0</v>
      </c>
      <c r="M21" s="186">
        <f t="shared" si="5"/>
        <v>0</v>
      </c>
      <c r="N21" s="187">
        <f t="shared" si="5"/>
        <v>0</v>
      </c>
      <c r="O21" s="186">
        <f t="shared" si="5"/>
        <v>0</v>
      </c>
      <c r="P21" s="188">
        <f t="shared" si="5"/>
        <v>0</v>
      </c>
      <c r="Q21" s="50">
        <f t="shared" si="2"/>
        <v>0</v>
      </c>
      <c r="R21" s="50">
        <f t="shared" si="3"/>
        <v>0</v>
      </c>
      <c r="S21" s="98" t="e">
        <f t="shared" si="4"/>
        <v>#DIV/0!</v>
      </c>
    </row>
    <row r="22" spans="1:19">
      <c r="B22" s="30" t="s">
        <v>98</v>
      </c>
    </row>
    <row r="23" spans="1:19" ht="13.5" customHeight="1">
      <c r="B23" s="30"/>
    </row>
    <row r="24" spans="1:19">
      <c r="B24" s="30" t="s">
        <v>99</v>
      </c>
    </row>
    <row r="25" spans="1:19">
      <c r="B25" s="189" t="s">
        <v>100</v>
      </c>
      <c r="C25" s="105"/>
      <c r="D25" s="105"/>
      <c r="E25" s="105"/>
      <c r="F25" s="105"/>
      <c r="G25" s="105"/>
      <c r="H25" s="105"/>
      <c r="I25" s="190"/>
    </row>
    <row r="26" spans="1:19">
      <c r="B26" s="114" t="s">
        <v>80</v>
      </c>
      <c r="C26" s="114" t="s">
        <v>101</v>
      </c>
      <c r="D26" s="115" t="s">
        <v>64</v>
      </c>
      <c r="E26" s="115" t="s">
        <v>65</v>
      </c>
      <c r="F26" s="115" t="s">
        <v>66</v>
      </c>
      <c r="G26" s="115" t="s">
        <v>67</v>
      </c>
      <c r="H26" s="115" t="s">
        <v>68</v>
      </c>
      <c r="I26" s="114" t="s">
        <v>102</v>
      </c>
      <c r="J26" s="16"/>
    </row>
    <row r="27" spans="1:19" ht="20.25" customHeight="1">
      <c r="A27" s="84" t="s">
        <v>100</v>
      </c>
      <c r="B27" s="178"/>
      <c r="C27" s="178" t="s">
        <v>103</v>
      </c>
      <c r="D27" s="191"/>
      <c r="E27" s="191"/>
      <c r="F27" s="191"/>
      <c r="G27" s="191"/>
      <c r="H27" s="191"/>
      <c r="I27" s="192">
        <f t="shared" ref="I27:I28" si="6">SUM(D27:H27)</f>
        <v>0</v>
      </c>
      <c r="J27" s="17"/>
    </row>
    <row r="28" spans="1:19" ht="20.25" customHeight="1">
      <c r="A28" s="84" t="s">
        <v>100</v>
      </c>
      <c r="B28" s="178"/>
      <c r="C28" s="178" t="s">
        <v>104</v>
      </c>
      <c r="D28" s="191"/>
      <c r="E28" s="191"/>
      <c r="F28" s="191"/>
      <c r="G28" s="191"/>
      <c r="H28" s="191"/>
      <c r="I28" s="192">
        <f t="shared" si="6"/>
        <v>0</v>
      </c>
      <c r="J28" s="17"/>
    </row>
    <row r="29" spans="1:19" ht="20.25" customHeight="1">
      <c r="A29" s="84" t="s">
        <v>100</v>
      </c>
      <c r="B29" s="178"/>
      <c r="C29" s="178" t="s">
        <v>105</v>
      </c>
      <c r="D29" s="191"/>
      <c r="E29" s="191"/>
      <c r="F29" s="191"/>
      <c r="G29" s="191"/>
      <c r="H29" s="191"/>
      <c r="I29" s="192">
        <f t="shared" ref="I29:I41" si="7">SUM(D29:H29)</f>
        <v>0</v>
      </c>
      <c r="J29" s="17"/>
    </row>
    <row r="30" spans="1:19" ht="20.25" customHeight="1">
      <c r="A30" s="84" t="s">
        <v>100</v>
      </c>
      <c r="B30" s="178"/>
      <c r="C30" s="178" t="s">
        <v>106</v>
      </c>
      <c r="D30" s="191"/>
      <c r="E30" s="191"/>
      <c r="F30" s="191"/>
      <c r="G30" s="191"/>
      <c r="H30" s="191"/>
      <c r="I30" s="192">
        <f t="shared" si="7"/>
        <v>0</v>
      </c>
      <c r="J30" s="17"/>
    </row>
    <row r="31" spans="1:19" ht="20.25" customHeight="1">
      <c r="A31" s="84" t="s">
        <v>100</v>
      </c>
      <c r="B31" s="178"/>
      <c r="C31" s="178"/>
      <c r="D31" s="191"/>
      <c r="E31" s="191"/>
      <c r="F31" s="191"/>
      <c r="G31" s="191"/>
      <c r="H31" s="191"/>
      <c r="I31" s="192">
        <f t="shared" ref="I31:I40" si="8">SUM(D31:H31)</f>
        <v>0</v>
      </c>
      <c r="J31" s="17"/>
    </row>
    <row r="32" spans="1:19" ht="20.25" customHeight="1">
      <c r="A32" s="84" t="s">
        <v>100</v>
      </c>
      <c r="B32" s="178"/>
      <c r="C32" s="178"/>
      <c r="D32" s="191"/>
      <c r="E32" s="191"/>
      <c r="F32" s="191"/>
      <c r="G32" s="191"/>
      <c r="H32" s="191"/>
      <c r="I32" s="192">
        <f t="shared" si="8"/>
        <v>0</v>
      </c>
      <c r="J32" s="17"/>
    </row>
    <row r="33" spans="1:10" ht="20.25" customHeight="1">
      <c r="A33" s="84" t="s">
        <v>100</v>
      </c>
      <c r="B33" s="178"/>
      <c r="C33" s="178"/>
      <c r="D33" s="191"/>
      <c r="E33" s="191"/>
      <c r="F33" s="191"/>
      <c r="G33" s="191"/>
      <c r="H33" s="191"/>
      <c r="I33" s="192">
        <f t="shared" si="8"/>
        <v>0</v>
      </c>
      <c r="J33" s="17"/>
    </row>
    <row r="34" spans="1:10" ht="20.25" customHeight="1">
      <c r="A34" s="84" t="s">
        <v>100</v>
      </c>
      <c r="B34" s="178"/>
      <c r="C34" s="178"/>
      <c r="D34" s="191"/>
      <c r="E34" s="191"/>
      <c r="F34" s="191"/>
      <c r="G34" s="191"/>
      <c r="H34" s="191"/>
      <c r="I34" s="192">
        <f t="shared" si="8"/>
        <v>0</v>
      </c>
      <c r="J34" s="17"/>
    </row>
    <row r="35" spans="1:10" ht="20.25" customHeight="1">
      <c r="A35" s="84" t="s">
        <v>100</v>
      </c>
      <c r="B35" s="178"/>
      <c r="C35" s="178"/>
      <c r="D35" s="191"/>
      <c r="E35" s="191"/>
      <c r="F35" s="191"/>
      <c r="G35" s="191"/>
      <c r="H35" s="191"/>
      <c r="I35" s="192">
        <f t="shared" si="8"/>
        <v>0</v>
      </c>
      <c r="J35" s="17"/>
    </row>
    <row r="36" spans="1:10" ht="20.25" customHeight="1">
      <c r="A36" s="84" t="s">
        <v>100</v>
      </c>
      <c r="B36" s="178"/>
      <c r="C36" s="178"/>
      <c r="D36" s="191"/>
      <c r="E36" s="191"/>
      <c r="F36" s="191"/>
      <c r="G36" s="191"/>
      <c r="H36" s="191"/>
      <c r="I36" s="192">
        <f t="shared" si="8"/>
        <v>0</v>
      </c>
      <c r="J36" s="17"/>
    </row>
    <row r="37" spans="1:10" ht="20.25" customHeight="1">
      <c r="A37" s="84"/>
      <c r="B37" s="178"/>
      <c r="C37" s="178"/>
      <c r="D37" s="191"/>
      <c r="E37" s="191"/>
      <c r="F37" s="191"/>
      <c r="G37" s="191"/>
      <c r="H37" s="191"/>
      <c r="I37" s="192">
        <f>SUM(D37:H37)</f>
        <v>0</v>
      </c>
      <c r="J37" s="17"/>
    </row>
    <row r="38" spans="1:10" ht="20.25" customHeight="1">
      <c r="A38" s="84"/>
      <c r="B38" s="178"/>
      <c r="C38" s="178"/>
      <c r="D38" s="191"/>
      <c r="E38" s="191"/>
      <c r="F38" s="191"/>
      <c r="G38" s="191"/>
      <c r="H38" s="191"/>
      <c r="I38" s="192">
        <f>SUM(D38:H38)</f>
        <v>0</v>
      </c>
      <c r="J38" s="17"/>
    </row>
    <row r="39" spans="1:10" ht="20.25" customHeight="1">
      <c r="A39" s="84" t="s">
        <v>100</v>
      </c>
      <c r="B39" s="178"/>
      <c r="C39" s="178"/>
      <c r="D39" s="191"/>
      <c r="E39" s="191"/>
      <c r="F39" s="191"/>
      <c r="G39" s="191"/>
      <c r="H39" s="191"/>
      <c r="I39" s="192">
        <f t="shared" si="8"/>
        <v>0</v>
      </c>
      <c r="J39" s="17"/>
    </row>
    <row r="40" spans="1:10" ht="20.25" customHeight="1">
      <c r="A40" s="84" t="s">
        <v>100</v>
      </c>
      <c r="B40" s="178"/>
      <c r="C40" s="178"/>
      <c r="D40" s="191"/>
      <c r="E40" s="191"/>
      <c r="F40" s="191"/>
      <c r="G40" s="191"/>
      <c r="H40" s="191"/>
      <c r="I40" s="192">
        <f t="shared" si="8"/>
        <v>0</v>
      </c>
      <c r="J40" s="17"/>
    </row>
    <row r="41" spans="1:10" ht="20.25" customHeight="1">
      <c r="A41" s="84" t="s">
        <v>100</v>
      </c>
      <c r="B41" s="178"/>
      <c r="C41" s="178"/>
      <c r="D41" s="191"/>
      <c r="E41" s="191"/>
      <c r="F41" s="191"/>
      <c r="G41" s="191"/>
      <c r="H41" s="191"/>
      <c r="I41" s="192">
        <f t="shared" si="7"/>
        <v>0</v>
      </c>
      <c r="J41" s="17"/>
    </row>
    <row r="42" spans="1:10" ht="20.25" customHeight="1">
      <c r="B42" s="303" t="s">
        <v>71</v>
      </c>
      <c r="C42" s="356"/>
      <c r="D42" s="304">
        <f>SUM($D27:$D41)</f>
        <v>0</v>
      </c>
      <c r="E42" s="304">
        <f>SUM($E27:$E41)</f>
        <v>0</v>
      </c>
      <c r="F42" s="304">
        <f>SUM($F27:$F41)</f>
        <v>0</v>
      </c>
      <c r="G42" s="304">
        <f>SUM($G27:$G41)</f>
        <v>0</v>
      </c>
      <c r="H42" s="304">
        <f>SUM($H27:$H41)</f>
        <v>0</v>
      </c>
      <c r="I42" s="305">
        <f>SUM($I27:$I41)</f>
        <v>0</v>
      </c>
    </row>
    <row r="43" spans="1:10">
      <c r="B43" s="30" t="s">
        <v>107</v>
      </c>
    </row>
    <row r="44" spans="1:10">
      <c r="B44" s="193" t="s">
        <v>108</v>
      </c>
      <c r="C44" s="171"/>
      <c r="D44" s="194"/>
      <c r="E44" s="194"/>
      <c r="F44" s="194"/>
      <c r="G44" s="194"/>
      <c r="H44" s="195"/>
    </row>
    <row r="45" spans="1:10" ht="20.25" customHeight="1">
      <c r="B45" s="196" t="s">
        <v>109</v>
      </c>
      <c r="C45" s="278" t="s">
        <v>64</v>
      </c>
      <c r="D45" s="278" t="s">
        <v>65</v>
      </c>
      <c r="E45" s="278" t="s">
        <v>66</v>
      </c>
      <c r="F45" s="278" t="s">
        <v>67</v>
      </c>
      <c r="G45" s="278" t="s">
        <v>68</v>
      </c>
      <c r="H45" s="266" t="s">
        <v>102</v>
      </c>
    </row>
    <row r="46" spans="1:10" ht="20.25" customHeight="1">
      <c r="B46" s="197" t="s">
        <v>110</v>
      </c>
      <c r="C46" s="198">
        <f>$F21</f>
        <v>0</v>
      </c>
      <c r="D46" s="198">
        <f>$H21</f>
        <v>0</v>
      </c>
      <c r="E46" s="198">
        <f>$J21</f>
        <v>0</v>
      </c>
      <c r="F46" s="198">
        <f>$L21</f>
        <v>0</v>
      </c>
      <c r="G46" s="199">
        <f>$N21</f>
        <v>0</v>
      </c>
      <c r="H46" s="200">
        <f>SUM($C46:$G46)</f>
        <v>0</v>
      </c>
    </row>
    <row r="47" spans="1:10" ht="20.25" customHeight="1">
      <c r="B47" s="197" t="s">
        <v>111</v>
      </c>
      <c r="C47" s="198">
        <f>$D42</f>
        <v>0</v>
      </c>
      <c r="D47" s="198">
        <f>$E42</f>
        <v>0</v>
      </c>
      <c r="E47" s="198">
        <f>$F42</f>
        <v>0</v>
      </c>
      <c r="F47" s="198">
        <f>$G42</f>
        <v>0</v>
      </c>
      <c r="G47" s="199">
        <f>$H42</f>
        <v>0</v>
      </c>
      <c r="H47" s="200">
        <f>SUM($C47:$G47)</f>
        <v>0</v>
      </c>
    </row>
    <row r="48" spans="1:10" ht="20.25" customHeight="1">
      <c r="B48" s="201" t="s">
        <v>71</v>
      </c>
      <c r="C48" s="202">
        <f>SUM($C46:$C47)</f>
        <v>0</v>
      </c>
      <c r="D48" s="202">
        <f>SUM($D46:$D47)</f>
        <v>0</v>
      </c>
      <c r="E48" s="202">
        <f>SUM($E46:$E47)</f>
        <v>0</v>
      </c>
      <c r="F48" s="202">
        <f>SUM($F46:$F47)</f>
        <v>0</v>
      </c>
      <c r="G48" s="203">
        <f>SUM($G46:$G47)</f>
        <v>0</v>
      </c>
      <c r="H48" s="204">
        <f>SUM($H46:$H47)</f>
        <v>0</v>
      </c>
    </row>
    <row r="50" spans="1:10">
      <c r="B50" s="224" t="s">
        <v>112</v>
      </c>
    </row>
    <row r="52" spans="1:10">
      <c r="B52" s="205" t="s">
        <v>113</v>
      </c>
      <c r="C52" s="206"/>
      <c r="D52" s="207"/>
      <c r="E52" s="207"/>
      <c r="F52" s="207"/>
      <c r="G52" s="207"/>
      <c r="H52" s="208"/>
    </row>
    <row r="53" spans="1:10">
      <c r="B53" s="266"/>
      <c r="C53" s="278" t="s">
        <v>64</v>
      </c>
      <c r="D53" s="278" t="s">
        <v>65</v>
      </c>
      <c r="E53" s="278" t="s">
        <v>66</v>
      </c>
      <c r="F53" s="278" t="s">
        <v>67</v>
      </c>
      <c r="G53" s="278" t="s">
        <v>68</v>
      </c>
      <c r="H53" s="266" t="s">
        <v>102</v>
      </c>
    </row>
    <row r="54" spans="1:10" s="6" customFormat="1" ht="14.1">
      <c r="A54" s="83"/>
      <c r="B54" s="306" t="s">
        <v>114</v>
      </c>
      <c r="C54" s="307">
        <f>$C48</f>
        <v>0</v>
      </c>
      <c r="D54" s="307">
        <f>$D48</f>
        <v>0</v>
      </c>
      <c r="E54" s="307">
        <f>$E48</f>
        <v>0</v>
      </c>
      <c r="F54" s="307">
        <f>$F48</f>
        <v>0</v>
      </c>
      <c r="G54" s="307">
        <f>$G48</f>
        <v>0</v>
      </c>
      <c r="H54" s="200">
        <f>SUM($C54:$G54)</f>
        <v>0</v>
      </c>
      <c r="I54" s="5"/>
      <c r="J54" s="5"/>
    </row>
    <row r="55" spans="1:10">
      <c r="B55" s="209" t="s">
        <v>115</v>
      </c>
      <c r="C55" s="198">
        <f>'Cash Contributions'!$C54</f>
        <v>0</v>
      </c>
      <c r="D55" s="198">
        <f>'Cash Contributions'!$D54</f>
        <v>0</v>
      </c>
      <c r="E55" s="198">
        <f>'Cash Contributions'!$E54</f>
        <v>0</v>
      </c>
      <c r="F55" s="198">
        <f>'Cash Contributions'!$F54</f>
        <v>0</v>
      </c>
      <c r="G55" s="198">
        <f>'Cash Contributions'!$G54</f>
        <v>0</v>
      </c>
      <c r="H55" s="210">
        <f>SUM($C55:$G55)</f>
        <v>0</v>
      </c>
    </row>
    <row r="56" spans="1:10">
      <c r="B56" s="209" t="s">
        <v>72</v>
      </c>
      <c r="C56" s="198">
        <f>$C55-$C54</f>
        <v>0</v>
      </c>
      <c r="D56" s="198">
        <f>$D55-$D54</f>
        <v>0</v>
      </c>
      <c r="E56" s="198">
        <f>$E55-$E54</f>
        <v>0</v>
      </c>
      <c r="F56" s="198">
        <f>$F55-$F54</f>
        <v>0</v>
      </c>
      <c r="G56" s="211">
        <f>$G55-$G54</f>
        <v>0</v>
      </c>
      <c r="H56" s="225">
        <f>$H55-$H54</f>
        <v>0</v>
      </c>
    </row>
    <row r="57" spans="1:10">
      <c r="B57" s="93"/>
      <c r="C57" s="19"/>
      <c r="D57" s="19"/>
      <c r="E57" s="19"/>
      <c r="F57" s="19"/>
      <c r="G57" s="19"/>
      <c r="H57" s="19"/>
    </row>
    <row r="59" spans="1:10">
      <c r="B59" s="205" t="s">
        <v>116</v>
      </c>
      <c r="C59" s="207"/>
      <c r="D59" s="207"/>
      <c r="E59" s="207"/>
      <c r="F59" s="207"/>
      <c r="G59" s="207"/>
      <c r="H59" s="212" t="s">
        <v>117</v>
      </c>
    </row>
    <row r="60" spans="1:10">
      <c r="B60" s="266"/>
      <c r="C60" s="278" t="s">
        <v>64</v>
      </c>
      <c r="D60" s="278" t="s">
        <v>65</v>
      </c>
      <c r="E60" s="278" t="s">
        <v>66</v>
      </c>
      <c r="F60" s="278" t="s">
        <v>67</v>
      </c>
      <c r="G60" s="278" t="s">
        <v>68</v>
      </c>
      <c r="H60" s="266" t="s">
        <v>102</v>
      </c>
    </row>
    <row r="61" spans="1:10">
      <c r="B61" s="209" t="s">
        <v>114</v>
      </c>
      <c r="C61" s="198">
        <f>$C54</f>
        <v>0</v>
      </c>
      <c r="D61" s="198">
        <f>$D54</f>
        <v>0</v>
      </c>
      <c r="E61" s="198">
        <f>$E54</f>
        <v>0</v>
      </c>
      <c r="F61" s="198">
        <f>$F54</f>
        <v>0</v>
      </c>
      <c r="G61" s="198">
        <f>$G54</f>
        <v>0</v>
      </c>
      <c r="H61" s="200">
        <f>SUM($C61:$G61)</f>
        <v>0</v>
      </c>
      <c r="I61" s="91"/>
    </row>
    <row r="62" spans="1:10">
      <c r="B62" s="209" t="s">
        <v>118</v>
      </c>
      <c r="C62" s="198">
        <f>$C61-'Cash Contributions'!$D26</f>
        <v>0</v>
      </c>
      <c r="D62" s="198">
        <f>$D61-'Cash Contributions'!$E26</f>
        <v>0</v>
      </c>
      <c r="E62" s="198">
        <f>$E61-'Cash Contributions'!$F26</f>
        <v>0</v>
      </c>
      <c r="F62" s="198">
        <f>$F61-'Cash Contributions'!$G26</f>
        <v>0</v>
      </c>
      <c r="G62" s="198">
        <f>$G61-'Cash Contributions'!$H26</f>
        <v>0</v>
      </c>
      <c r="H62" s="200">
        <f>SUM($C62:$G62)</f>
        <v>0</v>
      </c>
      <c r="I62" s="91"/>
    </row>
    <row r="63" spans="1:10" ht="18" customHeight="1">
      <c r="B63" s="209" t="s">
        <v>119</v>
      </c>
      <c r="C63" s="198">
        <f>SUM('Cash Contributions'!$D17)</f>
        <v>0</v>
      </c>
      <c r="D63" s="198">
        <f>SUM('Cash Contributions'!$E17)</f>
        <v>0</v>
      </c>
      <c r="E63" s="198">
        <f>SUM('Cash Contributions'!$F17)</f>
        <v>0</v>
      </c>
      <c r="F63" s="198">
        <f>SUM('Cash Contributions'!$G17)</f>
        <v>0</v>
      </c>
      <c r="G63" s="198">
        <f>SUM('Cash Contributions'!$H17)</f>
        <v>0</v>
      </c>
      <c r="H63" s="200">
        <f>SUM($C63:$G63)</f>
        <v>0</v>
      </c>
    </row>
    <row r="64" spans="1:10" ht="18" customHeight="1">
      <c r="B64" s="209" t="s">
        <v>120</v>
      </c>
      <c r="C64" s="198">
        <f>IF($C61&gt;0,SUM('Cash Contributions'!$D17),0)</f>
        <v>0</v>
      </c>
      <c r="D64" s="198">
        <f>IF(AND(D61&gt;0,C65&lt;&gt;"N/A"),D63+C65,D63)</f>
        <v>0</v>
      </c>
      <c r="E64" s="198">
        <f t="shared" ref="E64:G64" si="9">IF(AND(E61&gt;0,D65&lt;&gt;"N/A"),E63+D65,E63)</f>
        <v>0</v>
      </c>
      <c r="F64" s="198">
        <f t="shared" si="9"/>
        <v>0</v>
      </c>
      <c r="G64" s="198">
        <f t="shared" si="9"/>
        <v>0</v>
      </c>
      <c r="H64" s="200">
        <f t="shared" ref="H64:H66" si="10">SUM($C64:$G64)</f>
        <v>0</v>
      </c>
    </row>
    <row r="65" spans="2:10" ht="18" customHeight="1">
      <c r="B65" s="209" t="s">
        <v>121</v>
      </c>
      <c r="C65" s="198">
        <f>IF($C64&lt;($C62/2),0,($C64-($C62/2)))</f>
        <v>0</v>
      </c>
      <c r="D65" s="198">
        <f>IF($D64&lt;($D62/2),0,($D64-($D62/2)))</f>
        <v>0</v>
      </c>
      <c r="E65" s="198">
        <f>IF($E64&lt;($E62/2),0,($E64-($E62/2)))</f>
        <v>0</v>
      </c>
      <c r="F65" s="198">
        <f>IF($F64&lt;($F62/2),0,($F64-($F62/2)))</f>
        <v>0</v>
      </c>
      <c r="G65" s="198">
        <f>IF($G64&lt;($G62/2),0,($G64-($G62/2)))</f>
        <v>0</v>
      </c>
      <c r="H65" s="200">
        <v>0</v>
      </c>
    </row>
    <row r="66" spans="2:10">
      <c r="B66" s="209" t="s">
        <v>122</v>
      </c>
      <c r="C66" s="198">
        <f>IF($C64&gt;=($C62/2),$C62/2,0)</f>
        <v>0</v>
      </c>
      <c r="D66" s="198">
        <f>IF($D64&gt;=($D62/2),$D62/2,0)</f>
        <v>0</v>
      </c>
      <c r="E66" s="198">
        <f>IF($E64&gt;=($E62/2),$E62/2,0)</f>
        <v>0</v>
      </c>
      <c r="F66" s="198">
        <f>IF($F64&gt;=($F62/2),$F62/2,0)</f>
        <v>0</v>
      </c>
      <c r="G66" s="198">
        <f>IF($G64&gt;=($G62/2),$G62/2,0)</f>
        <v>0</v>
      </c>
      <c r="H66" s="200">
        <f t="shared" si="10"/>
        <v>0</v>
      </c>
    </row>
    <row r="67" spans="2:10">
      <c r="B67" s="209" t="s">
        <v>123</v>
      </c>
      <c r="C67" s="198">
        <f>IF($C64&lt;($C62/2),0,IF(AND($C64&gt;=($C62/2),D61&gt;0),$C62-$C66,$C62-$C64))</f>
        <v>0</v>
      </c>
      <c r="D67" s="198">
        <f>IF($D64&lt;($D62/2),0,IF(AND($D64&gt;=($D62/2),$D65&gt;0,E61&gt;0),$D62-$D66,$D62-$D64))</f>
        <v>0</v>
      </c>
      <c r="E67" s="198">
        <f>IF($E64&lt;($E62/2),0,IF(AND($E64&gt;=($E62/2),$E65&gt;0,F61&gt;0),$E62-$E66,$E62-$E64))</f>
        <v>0</v>
      </c>
      <c r="F67" s="198">
        <f>IF($F64&lt;($F62/2),0,IF(AND($F64&gt;=($F62/2),$F65&gt;0,G61&gt;0),$F62-$F66,$F62-$F64))</f>
        <v>0</v>
      </c>
      <c r="G67" s="198">
        <f>IF(AND($G64&gt;=($G62/2),$G65&gt;0,$H65&lt;&gt;0),$G62-$G66,$G62-$G64)</f>
        <v>0</v>
      </c>
      <c r="H67" s="225">
        <f>SUM($C67:$G67)</f>
        <v>0</v>
      </c>
    </row>
    <row r="68" spans="2:10" ht="30" customHeight="1">
      <c r="B68" s="213" t="s">
        <v>124</v>
      </c>
      <c r="C68" s="214" t="str">
        <f>IF($C62&gt;0,IF(AND($C65&gt;=($C62*0.1),$C64&gt;0,$C67&gt;0),"Surplus Contributions",IF(AND($C48&gt;0,$C67&lt;=0),"Outside Funding Parameters",IF(AND($C66&gt;0,$C67&lt;=$C66),"Within Funding Parameters",IF($C67&gt;$C66,"Outside Funding Parameters","")))),"")</f>
        <v/>
      </c>
      <c r="D68" s="214" t="str">
        <f>IF($D62&gt;0,IF(AND($D64&gt;0,$D67&gt;0,$D65&gt;=($D62*0.1)),"Surplus Contributions",IF(AND($D48&gt;0,$D67&lt;=0),"Outside Funding Parameters",IF(AND($D66&gt;0,$D67&lt;=$D66),"Within Funding Parameters",IF($D67&gt;$D66,"Outside Funding Parameters","")))),"")</f>
        <v/>
      </c>
      <c r="E68" s="214" t="str">
        <f>IF($E62&gt;0,IF(AND($E64&gt;0,$E67&gt;0,$E65&gt;=($E62*0.1)),"Surplus Contributions",IF(AND($E48&gt;0,$E67&lt;=0),"Outside Funding Parameters",IF(AND($E66&gt;0,$E67&lt;=$E66),"Within Funding Parameters",IF($E67&gt;$E66,"Outside Funding Parameters","")))),"")</f>
        <v/>
      </c>
      <c r="F68" s="214" t="str">
        <f>IF($F62&gt;0,IF(AND($F65&gt;=($F62*0.1),$F63&gt;0,$F67&gt;0),"Surplus Contributions",IF(AND($F48&gt;0,$F67&lt;=0),"Outside Funding Parameters",IF(AND($F66&gt;0,$F67&lt;=$F66),"Within Funding Parameters",IF($F67&gt;$F66,"Outside Funding Parameters","")))),"")</f>
        <v/>
      </c>
      <c r="G68" s="214" t="str">
        <f>IF($G62&gt;0,IF(AND($G64&gt;0,$G67&gt;0,$G65&gt;=($G62*0.1)),"Surplus Contributions",IF(AND($G48&gt;0,$G67&lt;=0),"Outside Funding Parameters",IF(AND($G66&gt;0,$G67&lt;=$G66),"Within Funding Parameters",IF($G67&gt;$G66,"Outside Funding Parameters","")))),"")</f>
        <v/>
      </c>
      <c r="H68" s="214" t="str">
        <f>IF($H63&lt;(0.5*$H62),"Outside Funding Parameters","Within Funding Parameters")</f>
        <v>Within Funding Parameters</v>
      </c>
      <c r="I68" s="6"/>
      <c r="J68" s="6"/>
    </row>
    <row r="69" spans="2:10" ht="30" customHeight="1">
      <c r="B69" s="31"/>
      <c r="D69" s="32"/>
      <c r="E69" s="32"/>
      <c r="F69" s="32"/>
      <c r="G69" s="32"/>
      <c r="H69" s="33" t="str">
        <f>IFERROR(IF($H68="Outside Funding Parameters","We'd expect the CRC to provide no more cash funding than 50% of costs and not more than the industry partners",""),"")</f>
        <v/>
      </c>
      <c r="I69" s="6"/>
      <c r="J69" s="6"/>
    </row>
    <row r="70" spans="2:10">
      <c r="C70" s="74" t="str">
        <f t="shared" ref="C70:H70" si="11">IF(AND(C54&gt;0,C67=0),"CRC contribution won't calculate until leveraged industry partner contributions are 50% or greater of total expenditure","")</f>
        <v/>
      </c>
      <c r="D70" s="74" t="str">
        <f t="shared" si="11"/>
        <v/>
      </c>
      <c r="E70" s="74" t="str">
        <f t="shared" si="11"/>
        <v/>
      </c>
      <c r="F70" s="74" t="str">
        <f t="shared" si="11"/>
        <v/>
      </c>
      <c r="G70" s="74" t="str">
        <f t="shared" si="11"/>
        <v/>
      </c>
      <c r="H70" s="74" t="str">
        <f t="shared" si="11"/>
        <v/>
      </c>
    </row>
    <row r="75" spans="2:10">
      <c r="E75" s="92"/>
    </row>
  </sheetData>
  <sheetProtection deleteRows="0"/>
  <mergeCells count="6">
    <mergeCell ref="O11:P12"/>
    <mergeCell ref="K11:L12"/>
    <mergeCell ref="M11:N12"/>
    <mergeCell ref="E11:F12"/>
    <mergeCell ref="G11:H12"/>
    <mergeCell ref="I11:J12"/>
  </mergeCells>
  <phoneticPr fontId="2" type="noConversion"/>
  <conditionalFormatting sqref="C68:H68 D69:H69">
    <cfRule type="cellIs" dxfId="157" priority="1" operator="equal">
      <formula>"Surplus Contributions"</formula>
    </cfRule>
    <cfRule type="cellIs" dxfId="156" priority="76" operator="equal">
      <formula>"Outside Funding Parameters"</formula>
    </cfRule>
    <cfRule type="cellIs" dxfId="155" priority="77" operator="equal">
      <formula>"Within Funding Parameters"</formula>
    </cfRule>
  </conditionalFormatting>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56A6D-DAD4-4F10-8FAF-B43A44BACF41}">
  <sheetPr codeName="Sheet5"/>
  <dimension ref="A2:K68"/>
  <sheetViews>
    <sheetView showGridLines="0" zoomScale="85" zoomScaleNormal="85" workbookViewId="0">
      <selection activeCell="G12" sqref="G12"/>
    </sheetView>
  </sheetViews>
  <sheetFormatPr defaultColWidth="8.85546875" defaultRowHeight="14.45"/>
  <cols>
    <col min="1" max="1" width="1.42578125" style="86" customWidth="1"/>
    <col min="2" max="2" width="51.42578125" bestFit="1" customWidth="1"/>
    <col min="3" max="3" width="34.42578125" customWidth="1"/>
    <col min="4" max="4" width="15.42578125" customWidth="1"/>
    <col min="5" max="5" width="16.42578125" customWidth="1"/>
    <col min="6" max="20" width="15.42578125" customWidth="1"/>
    <col min="21" max="21" width="10.42578125" customWidth="1"/>
  </cols>
  <sheetData>
    <row r="2" spans="1:9">
      <c r="B2" s="233" t="s">
        <v>125</v>
      </c>
      <c r="C2" s="20"/>
      <c r="D2" s="215" t="s">
        <v>76</v>
      </c>
      <c r="E2" s="216"/>
      <c r="F2" s="27"/>
    </row>
    <row r="3" spans="1:9">
      <c r="B3" s="8"/>
      <c r="C3" s="8"/>
      <c r="D3" s="8"/>
      <c r="E3" s="8"/>
      <c r="F3" s="8"/>
    </row>
    <row r="4" spans="1:9">
      <c r="B4" s="234" t="s">
        <v>60</v>
      </c>
      <c r="C4" s="217">
        <f>'Cash Budget - Projects'!C4</f>
        <v>0</v>
      </c>
      <c r="D4" s="218"/>
      <c r="E4" s="218"/>
      <c r="F4" s="219"/>
    </row>
    <row r="5" spans="1:9">
      <c r="B5" s="234" t="s">
        <v>61</v>
      </c>
      <c r="C5" s="220">
        <f>'Cash Budget - Projects'!C5</f>
        <v>0</v>
      </c>
      <c r="D5" s="218"/>
      <c r="E5" s="218"/>
      <c r="F5" s="219"/>
    </row>
    <row r="6" spans="1:9">
      <c r="B6" s="234" t="s">
        <v>62</v>
      </c>
      <c r="C6" s="217">
        <f>'Cash Budget - Projects'!C6</f>
        <v>0</v>
      </c>
      <c r="D6" s="218"/>
      <c r="E6" s="218"/>
      <c r="F6" s="219"/>
    </row>
    <row r="8" spans="1:9" s="5" customFormat="1" ht="14.1">
      <c r="A8" s="83"/>
      <c r="B8" s="224" t="s">
        <v>126</v>
      </c>
    </row>
    <row r="9" spans="1:9" s="5" customFormat="1" ht="14.1">
      <c r="A9" s="83"/>
    </row>
    <row r="10" spans="1:9" s="5" customFormat="1" ht="14.1">
      <c r="A10" s="83"/>
      <c r="B10" s="205" t="s">
        <v>127</v>
      </c>
      <c r="C10" s="221"/>
      <c r="D10" s="207"/>
      <c r="E10" s="207"/>
      <c r="F10" s="207"/>
      <c r="G10" s="207"/>
      <c r="H10" s="207"/>
      <c r="I10" s="212"/>
    </row>
    <row r="11" spans="1:9" s="5" customFormat="1" ht="14.1">
      <c r="A11" s="83"/>
      <c r="B11" s="326" t="s">
        <v>80</v>
      </c>
      <c r="C11" s="327"/>
      <c r="D11" s="278" t="s">
        <v>64</v>
      </c>
      <c r="E11" s="278" t="s">
        <v>65</v>
      </c>
      <c r="F11" s="278" t="s">
        <v>66</v>
      </c>
      <c r="G11" s="278" t="s">
        <v>67</v>
      </c>
      <c r="H11" s="278" t="s">
        <v>68</v>
      </c>
      <c r="I11" s="266" t="s">
        <v>102</v>
      </c>
    </row>
    <row r="12" spans="1:9" s="5" customFormat="1" ht="20.25" customHeight="1">
      <c r="A12" s="83" t="s">
        <v>127</v>
      </c>
      <c r="B12" s="328" t="s">
        <v>128</v>
      </c>
      <c r="C12" s="329"/>
      <c r="D12" s="222"/>
      <c r="E12" s="222"/>
      <c r="F12" s="222"/>
      <c r="G12" s="222"/>
      <c r="H12" s="222"/>
      <c r="I12" s="200">
        <f t="shared" ref="I12" si="0">SUM(D12:H12)</f>
        <v>0</v>
      </c>
    </row>
    <row r="13" spans="1:9" s="5" customFormat="1" ht="20.25" customHeight="1">
      <c r="A13" s="83" t="s">
        <v>127</v>
      </c>
      <c r="B13" s="328" t="s">
        <v>129</v>
      </c>
      <c r="C13" s="329"/>
      <c r="D13" s="222"/>
      <c r="E13" s="222"/>
      <c r="F13" s="222"/>
      <c r="G13" s="222"/>
      <c r="H13" s="222"/>
      <c r="I13" s="200">
        <f t="shared" ref="I13:I16" si="1">SUM(D13:H13)</f>
        <v>0</v>
      </c>
    </row>
    <row r="14" spans="1:9" s="5" customFormat="1" ht="20.25" customHeight="1">
      <c r="A14" s="83" t="s">
        <v>127</v>
      </c>
      <c r="B14" s="328"/>
      <c r="C14" s="329"/>
      <c r="D14" s="222"/>
      <c r="E14" s="222"/>
      <c r="F14" s="222"/>
      <c r="G14" s="222"/>
      <c r="H14" s="222"/>
      <c r="I14" s="200">
        <f t="shared" si="1"/>
        <v>0</v>
      </c>
    </row>
    <row r="15" spans="1:9" s="5" customFormat="1" ht="20.25" customHeight="1">
      <c r="A15" s="83" t="s">
        <v>127</v>
      </c>
      <c r="B15" s="328"/>
      <c r="C15" s="329"/>
      <c r="D15" s="222"/>
      <c r="E15" s="222"/>
      <c r="F15" s="222"/>
      <c r="G15" s="222"/>
      <c r="H15" s="222"/>
      <c r="I15" s="200">
        <f t="shared" si="1"/>
        <v>0</v>
      </c>
    </row>
    <row r="16" spans="1:9" s="5" customFormat="1" ht="20.25" customHeight="1">
      <c r="A16" s="83" t="s">
        <v>127</v>
      </c>
      <c r="B16" s="328"/>
      <c r="C16" s="329"/>
      <c r="D16" s="222"/>
      <c r="E16" s="222"/>
      <c r="F16" s="222"/>
      <c r="G16" s="222"/>
      <c r="H16" s="222"/>
      <c r="I16" s="200">
        <f t="shared" si="1"/>
        <v>0</v>
      </c>
    </row>
    <row r="17" spans="1:11" s="5" customFormat="1" ht="20.25" customHeight="1">
      <c r="A17" s="83"/>
      <c r="B17" s="330" t="s">
        <v>71</v>
      </c>
      <c r="C17" s="331"/>
      <c r="D17" s="200">
        <f t="shared" ref="D17:I17" si="2">SUM(D12:D16)</f>
        <v>0</v>
      </c>
      <c r="E17" s="200">
        <f t="shared" si="2"/>
        <v>0</v>
      </c>
      <c r="F17" s="200">
        <f t="shared" si="2"/>
        <v>0</v>
      </c>
      <c r="G17" s="200">
        <f t="shared" si="2"/>
        <v>0</v>
      </c>
      <c r="H17" s="200">
        <f t="shared" si="2"/>
        <v>0</v>
      </c>
      <c r="I17" s="200">
        <f t="shared" si="2"/>
        <v>0</v>
      </c>
    </row>
    <row r="18" spans="1:11" s="5" customFormat="1" ht="14.1">
      <c r="A18" s="83"/>
      <c r="B18" s="30" t="s">
        <v>130</v>
      </c>
      <c r="C18" s="87"/>
    </row>
    <row r="19" spans="1:11" s="5" customFormat="1" ht="14.1">
      <c r="A19" s="83"/>
      <c r="B19" s="205" t="s">
        <v>131</v>
      </c>
      <c r="C19" s="221"/>
      <c r="D19" s="207"/>
      <c r="E19" s="207"/>
      <c r="F19" s="207"/>
      <c r="G19" s="207"/>
      <c r="H19" s="207"/>
      <c r="I19" s="212"/>
    </row>
    <row r="20" spans="1:11" s="5" customFormat="1" ht="14.1">
      <c r="A20" s="83"/>
      <c r="B20" s="326" t="s">
        <v>80</v>
      </c>
      <c r="C20" s="327"/>
      <c r="D20" s="278" t="s">
        <v>64</v>
      </c>
      <c r="E20" s="278" t="s">
        <v>65</v>
      </c>
      <c r="F20" s="278" t="s">
        <v>66</v>
      </c>
      <c r="G20" s="278" t="s">
        <v>67</v>
      </c>
      <c r="H20" s="278" t="s">
        <v>68</v>
      </c>
      <c r="I20" s="266" t="s">
        <v>102</v>
      </c>
    </row>
    <row r="21" spans="1:11" s="5" customFormat="1" ht="20.25" customHeight="1">
      <c r="A21" s="83" t="s">
        <v>131</v>
      </c>
      <c r="B21" s="328"/>
      <c r="C21" s="329"/>
      <c r="D21" s="222"/>
      <c r="E21" s="222"/>
      <c r="F21" s="222"/>
      <c r="G21" s="222"/>
      <c r="H21" s="222"/>
      <c r="I21" s="200">
        <f t="shared" ref="I21" si="3">SUM(D21:H21)</f>
        <v>0</v>
      </c>
    </row>
    <row r="22" spans="1:11" s="5" customFormat="1" ht="20.25" customHeight="1">
      <c r="A22" s="83" t="s">
        <v>131</v>
      </c>
      <c r="B22" s="328"/>
      <c r="C22" s="329"/>
      <c r="D22" s="222"/>
      <c r="E22" s="222"/>
      <c r="F22" s="222"/>
      <c r="G22" s="222"/>
      <c r="H22" s="222"/>
      <c r="I22" s="200">
        <f t="shared" ref="I22:I25" si="4">SUM(D22:H22)</f>
        <v>0</v>
      </c>
    </row>
    <row r="23" spans="1:11" s="5" customFormat="1" ht="20.25" customHeight="1">
      <c r="A23" s="83" t="s">
        <v>131</v>
      </c>
      <c r="B23" s="328"/>
      <c r="C23" s="329"/>
      <c r="D23" s="222"/>
      <c r="E23" s="222"/>
      <c r="F23" s="222"/>
      <c r="G23" s="222"/>
      <c r="H23" s="222"/>
      <c r="I23" s="200">
        <f t="shared" si="4"/>
        <v>0</v>
      </c>
    </row>
    <row r="24" spans="1:11" s="5" customFormat="1" ht="20.25" customHeight="1">
      <c r="A24" s="83" t="s">
        <v>131</v>
      </c>
      <c r="B24" s="328"/>
      <c r="C24" s="329"/>
      <c r="D24" s="222"/>
      <c r="E24" s="222"/>
      <c r="F24" s="222"/>
      <c r="G24" s="222"/>
      <c r="H24" s="222"/>
      <c r="I24" s="200">
        <f t="shared" si="4"/>
        <v>0</v>
      </c>
    </row>
    <row r="25" spans="1:11" s="5" customFormat="1" ht="20.25" customHeight="1">
      <c r="A25" s="83" t="s">
        <v>131</v>
      </c>
      <c r="B25" s="328"/>
      <c r="C25" s="329"/>
      <c r="D25" s="222"/>
      <c r="E25" s="222"/>
      <c r="F25" s="222"/>
      <c r="G25" s="222"/>
      <c r="H25" s="222"/>
      <c r="I25" s="200">
        <f t="shared" si="4"/>
        <v>0</v>
      </c>
    </row>
    <row r="26" spans="1:11" s="5" customFormat="1" ht="20.25" customHeight="1">
      <c r="A26" s="83"/>
      <c r="B26" s="330" t="s">
        <v>71</v>
      </c>
      <c r="C26" s="331"/>
      <c r="D26" s="223">
        <f t="shared" ref="D26:I26" si="5">SUM(D21:D25)</f>
        <v>0</v>
      </c>
      <c r="E26" s="223">
        <f t="shared" si="5"/>
        <v>0</v>
      </c>
      <c r="F26" s="223">
        <f t="shared" si="5"/>
        <v>0</v>
      </c>
      <c r="G26" s="223">
        <f t="shared" si="5"/>
        <v>0</v>
      </c>
      <c r="H26" s="223">
        <f t="shared" si="5"/>
        <v>0</v>
      </c>
      <c r="I26" s="223">
        <f t="shared" si="5"/>
        <v>0</v>
      </c>
    </row>
    <row r="27" spans="1:11" s="5" customFormat="1" ht="14.1">
      <c r="A27" s="83"/>
      <c r="B27" s="30" t="s">
        <v>132</v>
      </c>
    </row>
    <row r="28" spans="1:11">
      <c r="B28" s="224" t="s">
        <v>112</v>
      </c>
      <c r="C28" s="5"/>
      <c r="D28" s="5"/>
      <c r="E28" s="5"/>
      <c r="F28" s="5"/>
      <c r="G28" s="5"/>
      <c r="H28" s="5"/>
    </row>
    <row r="29" spans="1:11">
      <c r="B29" s="5"/>
      <c r="C29" s="5"/>
      <c r="D29" s="5"/>
      <c r="E29" s="5"/>
      <c r="F29" s="5"/>
      <c r="G29" s="5"/>
      <c r="H29" s="5"/>
      <c r="J29" s="5"/>
      <c r="K29" s="5"/>
    </row>
    <row r="30" spans="1:11">
      <c r="B30" s="205" t="s">
        <v>113</v>
      </c>
      <c r="C30" s="206"/>
      <c r="D30" s="207"/>
      <c r="E30" s="207"/>
      <c r="F30" s="207"/>
      <c r="G30" s="207"/>
      <c r="H30" s="208"/>
      <c r="J30" s="5"/>
      <c r="K30" s="5"/>
    </row>
    <row r="31" spans="1:11">
      <c r="B31" s="266"/>
      <c r="C31" s="278" t="s">
        <v>64</v>
      </c>
      <c r="D31" s="278" t="s">
        <v>65</v>
      </c>
      <c r="E31" s="278" t="s">
        <v>66</v>
      </c>
      <c r="F31" s="278" t="s">
        <v>67</v>
      </c>
      <c r="G31" s="278" t="s">
        <v>68</v>
      </c>
      <c r="H31" s="266" t="s">
        <v>102</v>
      </c>
      <c r="J31" s="5"/>
      <c r="K31" s="5"/>
    </row>
    <row r="32" spans="1:11">
      <c r="B32" s="306" t="s">
        <v>114</v>
      </c>
      <c r="C32" s="307">
        <f>'Cash Budget - Projects'!$C48</f>
        <v>0</v>
      </c>
      <c r="D32" s="307">
        <f>'Cash Budget - Projects'!$D48</f>
        <v>0</v>
      </c>
      <c r="E32" s="307">
        <f>'Cash Budget - Projects'!$E48</f>
        <v>0</v>
      </c>
      <c r="F32" s="307">
        <f>'Cash Budget - Projects'!$F48</f>
        <v>0</v>
      </c>
      <c r="G32" s="307">
        <f>'Cash Budget - Projects'!$G48</f>
        <v>0</v>
      </c>
      <c r="H32" s="307">
        <f>'Cash Budget - Projects'!$H48</f>
        <v>0</v>
      </c>
      <c r="J32" s="5"/>
      <c r="K32" s="5"/>
    </row>
    <row r="33" spans="2:11">
      <c r="B33" s="209" t="s">
        <v>115</v>
      </c>
      <c r="C33" s="198">
        <f>'Cash Contributions'!$C54</f>
        <v>0</v>
      </c>
      <c r="D33" s="198">
        <f>'Cash Contributions'!$D54</f>
        <v>0</v>
      </c>
      <c r="E33" s="198">
        <f>'Cash Contributions'!$E54</f>
        <v>0</v>
      </c>
      <c r="F33" s="198">
        <f>'Cash Contributions'!$F54</f>
        <v>0</v>
      </c>
      <c r="G33" s="198">
        <f>'Cash Contributions'!$G54</f>
        <v>0</v>
      </c>
      <c r="H33" s="210">
        <f>SUM($C33:$G33)</f>
        <v>0</v>
      </c>
      <c r="J33" s="5"/>
      <c r="K33" s="5"/>
    </row>
    <row r="34" spans="2:11">
      <c r="B34" s="209" t="s">
        <v>72</v>
      </c>
      <c r="C34" s="198">
        <f>$C33-$C32</f>
        <v>0</v>
      </c>
      <c r="D34" s="198">
        <f>$D33-$D32</f>
        <v>0</v>
      </c>
      <c r="E34" s="198">
        <f>$E33-$E32</f>
        <v>0</v>
      </c>
      <c r="F34" s="198">
        <f>$F33-$F32</f>
        <v>0</v>
      </c>
      <c r="G34" s="211">
        <f>$G33-$G32</f>
        <v>0</v>
      </c>
      <c r="H34" s="225">
        <f>$H33-$H32</f>
        <v>0</v>
      </c>
      <c r="J34" s="5"/>
      <c r="K34" s="5"/>
    </row>
    <row r="35" spans="2:11">
      <c r="B35" s="93"/>
      <c r="C35" s="19"/>
      <c r="D35" s="19"/>
      <c r="E35" s="19"/>
      <c r="F35" s="19"/>
      <c r="G35" s="19"/>
      <c r="H35" s="19"/>
      <c r="J35" s="5"/>
      <c r="K35" s="5"/>
    </row>
    <row r="36" spans="2:11">
      <c r="B36" s="5"/>
      <c r="C36" s="5"/>
      <c r="D36" s="5"/>
      <c r="E36" s="5"/>
      <c r="F36" s="5"/>
      <c r="G36" s="5"/>
      <c r="H36" s="5"/>
      <c r="J36" s="5"/>
      <c r="K36" s="5"/>
    </row>
    <row r="37" spans="2:11">
      <c r="B37" s="205" t="s">
        <v>116</v>
      </c>
      <c r="C37" s="207"/>
      <c r="D37" s="207"/>
      <c r="E37" s="207"/>
      <c r="F37" s="207"/>
      <c r="G37" s="207"/>
      <c r="H37" s="212" t="s">
        <v>117</v>
      </c>
      <c r="J37" s="5"/>
      <c r="K37" s="5"/>
    </row>
    <row r="38" spans="2:11">
      <c r="B38" s="266"/>
      <c r="C38" s="278" t="s">
        <v>64</v>
      </c>
      <c r="D38" s="278" t="s">
        <v>65</v>
      </c>
      <c r="E38" s="278" t="s">
        <v>66</v>
      </c>
      <c r="F38" s="278" t="s">
        <v>67</v>
      </c>
      <c r="G38" s="278" t="s">
        <v>68</v>
      </c>
      <c r="H38" s="266" t="s">
        <v>102</v>
      </c>
      <c r="J38" s="5"/>
      <c r="K38" s="5"/>
    </row>
    <row r="39" spans="2:11">
      <c r="B39" s="209" t="s">
        <v>114</v>
      </c>
      <c r="C39" s="198">
        <f>$C32</f>
        <v>0</v>
      </c>
      <c r="D39" s="198">
        <f>$D32</f>
        <v>0</v>
      </c>
      <c r="E39" s="198">
        <f>$E32</f>
        <v>0</v>
      </c>
      <c r="F39" s="198">
        <f>$F32</f>
        <v>0</v>
      </c>
      <c r="G39" s="198">
        <f>$G32</f>
        <v>0</v>
      </c>
      <c r="H39" s="200">
        <f>SUM($C39:$G39)</f>
        <v>0</v>
      </c>
      <c r="J39" s="5"/>
      <c r="K39" s="5"/>
    </row>
    <row r="40" spans="2:11" hidden="1">
      <c r="B40" s="209" t="s">
        <v>118</v>
      </c>
      <c r="C40" s="198">
        <f>$C39-'Cash Contributions'!$D26</f>
        <v>0</v>
      </c>
      <c r="D40" s="198">
        <f>$D39-'Cash Contributions'!$E26</f>
        <v>0</v>
      </c>
      <c r="E40" s="198">
        <f>$E39-'Cash Contributions'!$F26</f>
        <v>0</v>
      </c>
      <c r="F40" s="198">
        <f>$F39-'Cash Contributions'!$G26</f>
        <v>0</v>
      </c>
      <c r="G40" s="198">
        <f>$G39-'Cash Contributions'!$H26</f>
        <v>0</v>
      </c>
      <c r="H40" s="200">
        <f>SUM($C40:$G40)</f>
        <v>0</v>
      </c>
      <c r="J40" s="91"/>
      <c r="K40" s="5"/>
    </row>
    <row r="41" spans="2:11">
      <c r="B41" s="209" t="s">
        <v>119</v>
      </c>
      <c r="C41" s="198">
        <f>SUM('Cash Contributions'!$D17)</f>
        <v>0</v>
      </c>
      <c r="D41" s="198">
        <f>SUM('Cash Contributions'!$E17)</f>
        <v>0</v>
      </c>
      <c r="E41" s="198">
        <f>SUM('Cash Contributions'!$F17)</f>
        <v>0</v>
      </c>
      <c r="F41" s="198">
        <f>SUM('Cash Contributions'!$G17)</f>
        <v>0</v>
      </c>
      <c r="G41" s="198">
        <f>SUM('Cash Contributions'!$H17)</f>
        <v>0</v>
      </c>
      <c r="H41" s="200">
        <f>SUM($C41:$G41)</f>
        <v>0</v>
      </c>
      <c r="J41" s="91"/>
      <c r="K41" s="5"/>
    </row>
    <row r="42" spans="2:11">
      <c r="B42" s="209" t="s">
        <v>120</v>
      </c>
      <c r="C42" s="198">
        <f>IF($C39&gt;0,SUM('Cash Contributions'!$D17),0)</f>
        <v>0</v>
      </c>
      <c r="D42" s="198">
        <f>IF(AND(D39&gt;0,C43&lt;&gt;"N/A"),D41+C43,D41)</f>
        <v>0</v>
      </c>
      <c r="E42" s="198">
        <f>IF(AND(E39&gt;0,D43&lt;&gt;"N/A"),E41+D43,E41)</f>
        <v>0</v>
      </c>
      <c r="F42" s="198">
        <f>IF(AND(F39&gt;0,E43&lt;&gt;"N/A"),F41+E43,F41)</f>
        <v>0</v>
      </c>
      <c r="G42" s="198">
        <f>IF(AND(G39&gt;0,F43&lt;&gt;"N/A"),G41+F43,G41)</f>
        <v>0</v>
      </c>
      <c r="H42" s="200" t="s">
        <v>133</v>
      </c>
      <c r="J42" s="5"/>
      <c r="K42" s="5"/>
    </row>
    <row r="43" spans="2:11">
      <c r="B43" s="209" t="s">
        <v>121</v>
      </c>
      <c r="C43" s="198">
        <f>IF($C42&lt;($C40/2),0,($C42-($C40/2)))</f>
        <v>0</v>
      </c>
      <c r="D43" s="198">
        <f>IF($D42&lt;($D40/2),0,($D42-($D40/2)))</f>
        <v>0</v>
      </c>
      <c r="E43" s="198">
        <f>IF($E42&lt;($E40/2),0,($E42-($E40/2)))</f>
        <v>0</v>
      </c>
      <c r="F43" s="198">
        <f>IF($F42&lt;($F40/2),0,($F42-($F40/2)))</f>
        <v>0</v>
      </c>
      <c r="G43" s="198">
        <f>IF($G42&lt;($G40/2),0,($G42-($G40/2)))</f>
        <v>0</v>
      </c>
      <c r="H43" s="200">
        <v>0</v>
      </c>
      <c r="J43" s="5"/>
      <c r="K43" s="5"/>
    </row>
    <row r="44" spans="2:11" hidden="1">
      <c r="B44" s="209" t="s">
        <v>122</v>
      </c>
      <c r="C44" s="198">
        <f>IF($C42&gt;=($C40/2),$C40/2,0)</f>
        <v>0</v>
      </c>
      <c r="D44" s="198">
        <f>IF($D42&gt;=($D40/2),$D40/2,0)</f>
        <v>0</v>
      </c>
      <c r="E44" s="198">
        <f>IF($E42&gt;=($E40/2),$E40/2,0)</f>
        <v>0</v>
      </c>
      <c r="F44" s="198">
        <f>IF($F42&gt;=($F40/2),$F40/2,0)</f>
        <v>0</v>
      </c>
      <c r="G44" s="198">
        <f>IF($G42&gt;=($G40/2),$G40/2,0)</f>
        <v>0</v>
      </c>
      <c r="H44" s="200">
        <f>SUM($C44:$G44)</f>
        <v>0</v>
      </c>
      <c r="J44" s="5"/>
      <c r="K44" s="5"/>
    </row>
    <row r="45" spans="2:11">
      <c r="B45" s="209" t="s">
        <v>123</v>
      </c>
      <c r="C45" s="198">
        <f>IF($C42&lt;($C40/2),0,IF(AND($C42&gt;=($C40/2),D39&gt;0),$C40-$C44,$C40-$C42))</f>
        <v>0</v>
      </c>
      <c r="D45" s="198">
        <f>IF($D42&lt;($D40/2),0,IF(AND($D42&gt;=($D40/2),$D43&gt;0,E39&gt;0),$D40-$D44,$D40-$D42))</f>
        <v>0</v>
      </c>
      <c r="E45" s="198">
        <f>IF($E42&lt;($E40/2),0,IF(AND($E42&gt;=($E40/2),$E43&gt;0,F39&gt;0),$E40-$E44,$E40-$E42))</f>
        <v>0</v>
      </c>
      <c r="F45" s="198">
        <f>IF($F42&lt;($F40/2),0,IF(AND($F42&gt;=($F40/2),$F43&gt;0,G39&gt;0),$F40-$F44,$F40-$F42))</f>
        <v>0</v>
      </c>
      <c r="G45" s="198">
        <f>IF(AND($G42&gt;=($G40/2),$G43&gt;0,$H43&lt;&gt;0),$G40-$G44,$G40-$G42)</f>
        <v>0</v>
      </c>
      <c r="H45" s="225">
        <f>SUM($C45:$G45)</f>
        <v>0</v>
      </c>
      <c r="J45" s="5"/>
      <c r="K45" s="5"/>
    </row>
    <row r="46" spans="2:11" ht="35.25" customHeight="1">
      <c r="B46" s="213" t="s">
        <v>124</v>
      </c>
      <c r="C46" s="214" t="str">
        <f>IF($C40&gt;0,IF(AND($C43&gt;=($C40*0.1),$C42&gt;0,$C45&gt;0),"Surplus Contributions",IF(AND($C45&gt;0,$C45&lt;=0),"Outside Funding Parameters",IF(AND($C44&gt;0,$C45&lt;=$C44),"Within Funding Parameters",IF($C45&gt;$C44,"Outside Funding Parameters","")))),"")</f>
        <v/>
      </c>
      <c r="D46" s="214" t="str">
        <f>IF($D40&gt;0,IF(AND($D42&gt;0,$D45&gt;0,$D43&gt;=($D40*0.1)),"Surplus Contributions",IF(AND($D45&lt;=0),"Outside Funding Parameters",IF(AND($D44&gt;0,$D45&lt;=$D44),"Within Funding Parameters",IF($D45&gt;$D44,"Outside Funding Parameters","")))),"")</f>
        <v/>
      </c>
      <c r="E46" s="214" t="str">
        <f>IF($E40&gt;0,IF(AND($E42&gt;0,$E45&gt;0,$E43&gt;=($E40*0.1)),"Surplus Contributions",IF(AND($E45&lt;=0),"Outside Funding Parameters",IF(AND($E44&gt;0,$E45&lt;=$E44),"Within Funding Parameters",IF($E45&gt;$E44,"Outside Funding Parameters","")))),"")</f>
        <v/>
      </c>
      <c r="F46" s="214" t="str">
        <f>IF($F40&gt;0,IF(AND($F43&gt;=($F40*0.1),$F41&gt;0,$F45&gt;0),"Surplus Contributions",IF(AND($F45&lt;=0),"Outside Funding Parameters",IF(AND($F44&gt;0,$F45&lt;=$F44),"Within Funding Parameters",IF($F45&gt;$F44,"Outside Funding Parameters","")))),"")</f>
        <v/>
      </c>
      <c r="G46" s="214" t="str">
        <f>IF($G40&gt;0,IF(AND($G42&gt;0,$G45&gt;0,$G43&gt;=($G40*0.1)),"Surplus Contributions",IF(AND($G45&lt;=0),"Outside Funding Parameters",IF(AND($G44&gt;0,$G45&lt;=$G44),"Within Funding Parameters",IF($G45&gt;$G44,"Outside Funding Parameters","")))),"")</f>
        <v/>
      </c>
      <c r="H46" s="214" t="str">
        <f>IF($H41&lt;(0.5*$H40),"Outside Funding Parameters","Within Funding Parameters")</f>
        <v>Within Funding Parameters</v>
      </c>
      <c r="J46" s="5"/>
      <c r="K46" s="5"/>
    </row>
    <row r="47" spans="2:11">
      <c r="B47" s="31"/>
      <c r="C47" s="5"/>
      <c r="D47" s="32"/>
      <c r="E47" s="32"/>
      <c r="F47" s="32"/>
      <c r="G47" s="32"/>
      <c r="H47" s="33" t="str">
        <f>IFERROR(IF($H46="Outside Funding Parameters","We'd expect the CRC to provide no more cash funding than 50% of costs and not more than the industry partners",""),"")</f>
        <v/>
      </c>
      <c r="J47" s="6"/>
      <c r="K47" s="6"/>
    </row>
    <row r="48" spans="2:11">
      <c r="B48" s="5"/>
      <c r="C48" s="74" t="str">
        <f t="shared" ref="C48:H48" si="6">IF(AND(C32&gt;0,C45=0),"CRC contribution won't calculate until leveraged industry partner contributions are 50% or greater of total expenditure","")</f>
        <v/>
      </c>
      <c r="D48" s="74" t="str">
        <f t="shared" si="6"/>
        <v/>
      </c>
      <c r="E48" s="74" t="str">
        <f t="shared" si="6"/>
        <v/>
      </c>
      <c r="F48" s="74" t="str">
        <f t="shared" si="6"/>
        <v/>
      </c>
      <c r="G48" s="74" t="str">
        <f t="shared" si="6"/>
        <v/>
      </c>
      <c r="H48" s="74" t="str">
        <f t="shared" si="6"/>
        <v/>
      </c>
      <c r="J48" s="6"/>
      <c r="K48" s="6"/>
    </row>
    <row r="49" spans="1:11" s="5" customFormat="1" ht="20.25" customHeight="1">
      <c r="A49" s="83"/>
      <c r="B49" s="205" t="s">
        <v>134</v>
      </c>
      <c r="C49" s="206" t="s">
        <v>117</v>
      </c>
      <c r="D49" s="207"/>
      <c r="E49" s="207"/>
      <c r="F49" s="207"/>
      <c r="G49" s="207"/>
      <c r="H49" s="208"/>
    </row>
    <row r="50" spans="1:11" s="5" customFormat="1" ht="20.25" customHeight="1">
      <c r="A50" s="83"/>
      <c r="B50" s="266" t="s">
        <v>80</v>
      </c>
      <c r="C50" s="278" t="s">
        <v>64</v>
      </c>
      <c r="D50" s="278" t="s">
        <v>65</v>
      </c>
      <c r="E50" s="278" t="s">
        <v>66</v>
      </c>
      <c r="F50" s="278" t="s">
        <v>67</v>
      </c>
      <c r="G50" s="278" t="s">
        <v>68</v>
      </c>
      <c r="H50" s="266" t="s">
        <v>102</v>
      </c>
    </row>
    <row r="51" spans="1:11" s="5" customFormat="1" ht="20.25" customHeight="1">
      <c r="A51" s="83"/>
      <c r="B51" s="226" t="s">
        <v>135</v>
      </c>
      <c r="C51" s="227">
        <f>$D17</f>
        <v>0</v>
      </c>
      <c r="D51" s="227">
        <f>E17</f>
        <v>0</v>
      </c>
      <c r="E51" s="227">
        <f>F17</f>
        <v>0</v>
      </c>
      <c r="F51" s="227">
        <f>G17</f>
        <v>0</v>
      </c>
      <c r="G51" s="227">
        <f>H17</f>
        <v>0</v>
      </c>
      <c r="H51" s="210">
        <f>SUM(C51:G51)</f>
        <v>0</v>
      </c>
    </row>
    <row r="52" spans="1:11" s="5" customFormat="1" ht="20.25" customHeight="1">
      <c r="A52" s="83"/>
      <c r="B52" s="209" t="s">
        <v>136</v>
      </c>
      <c r="C52" s="228">
        <f>$D26</f>
        <v>0</v>
      </c>
      <c r="D52" s="228">
        <f>E26</f>
        <v>0</v>
      </c>
      <c r="E52" s="228">
        <f>F26</f>
        <v>0</v>
      </c>
      <c r="F52" s="228">
        <f>G26</f>
        <v>0</v>
      </c>
      <c r="G52" s="228">
        <f>H26</f>
        <v>0</v>
      </c>
      <c r="H52" s="200">
        <f>SUM(C52:G52)</f>
        <v>0</v>
      </c>
    </row>
    <row r="53" spans="1:11" s="5" customFormat="1" ht="20.25" customHeight="1">
      <c r="A53" s="83"/>
      <c r="B53" s="229" t="s">
        <v>137</v>
      </c>
      <c r="C53" s="230">
        <f>'Cash Budget - Projects'!C67</f>
        <v>0</v>
      </c>
      <c r="D53" s="230">
        <f>'Cash Budget - Projects'!D67</f>
        <v>0</v>
      </c>
      <c r="E53" s="230">
        <f>'Cash Budget - Projects'!E67</f>
        <v>0</v>
      </c>
      <c r="F53" s="230">
        <f>'Cash Budget - Projects'!F67</f>
        <v>0</v>
      </c>
      <c r="G53" s="230">
        <f>'Cash Budget - Projects'!G67</f>
        <v>0</v>
      </c>
      <c r="H53" s="231">
        <f>SUM(C53:G53)</f>
        <v>0</v>
      </c>
    </row>
    <row r="54" spans="1:11" s="5" customFormat="1" ht="20.25" customHeight="1">
      <c r="A54" s="83"/>
      <c r="B54" s="229" t="s">
        <v>71</v>
      </c>
      <c r="C54" s="230">
        <f>SUM($C51:$C53)</f>
        <v>0</v>
      </c>
      <c r="D54" s="230">
        <f>SUM($D51:$D53)</f>
        <v>0</v>
      </c>
      <c r="E54" s="230">
        <f>SUM($E51:$E53)</f>
        <v>0</v>
      </c>
      <c r="F54" s="230">
        <f>SUM($F51:$F53)</f>
        <v>0</v>
      </c>
      <c r="G54" s="230">
        <f>SUM($G51:$G53)</f>
        <v>0</v>
      </c>
      <c r="H54" s="231">
        <f>SUM($H51:$H53)</f>
        <v>0</v>
      </c>
    </row>
    <row r="55" spans="1:11" s="5" customFormat="1" ht="14.1">
      <c r="A55" s="83"/>
    </row>
    <row r="56" spans="1:11">
      <c r="B56" s="224" t="s">
        <v>138</v>
      </c>
      <c r="C56" s="5"/>
      <c r="D56" s="5"/>
      <c r="E56" s="5"/>
      <c r="F56" s="5"/>
      <c r="G56" s="5"/>
    </row>
    <row r="57" spans="1:11">
      <c r="B57" s="5"/>
      <c r="C57" s="5"/>
      <c r="D57" s="5"/>
      <c r="E57" s="5"/>
      <c r="F57" s="5"/>
      <c r="G57" s="5"/>
    </row>
    <row r="58" spans="1:11">
      <c r="B58" s="205" t="s">
        <v>74</v>
      </c>
      <c r="C58" s="206" t="s">
        <v>117</v>
      </c>
      <c r="D58" s="207"/>
      <c r="E58" s="207"/>
      <c r="F58" s="207"/>
      <c r="G58" s="208"/>
    </row>
    <row r="59" spans="1:11">
      <c r="B59" s="278" t="s">
        <v>64</v>
      </c>
      <c r="C59" s="278" t="s">
        <v>65</v>
      </c>
      <c r="D59" s="278" t="s">
        <v>66</v>
      </c>
      <c r="E59" s="278" t="s">
        <v>67</v>
      </c>
      <c r="F59" s="278" t="s">
        <v>68</v>
      </c>
      <c r="G59" s="97" t="s">
        <v>102</v>
      </c>
    </row>
    <row r="60" spans="1:11">
      <c r="B60" s="232" t="str">
        <f>IFERROR("1:"&amp;ROUND('In-Kind Contributions'!$C71/$C54,2),"")</f>
        <v/>
      </c>
      <c r="C60" s="232" t="str">
        <f>IFERROR("1:"&amp;ROUND('In-Kind Contributions'!$D71/$D54,2),"")</f>
        <v/>
      </c>
      <c r="D60" s="232" t="str">
        <f>IFERROR("1:"&amp;ROUND('In-Kind Contributions'!#REF!/$E54,2),"")</f>
        <v/>
      </c>
      <c r="E60" s="232" t="str">
        <f>IFERROR("1:"&amp;ROUND('In-Kind Contributions'!#REF!/$F54,2),"")</f>
        <v/>
      </c>
      <c r="F60" s="232" t="str">
        <f>IFERROR("1:"&amp;ROUND('In-Kind Contributions'!#REF!/$G54,2),"")</f>
        <v/>
      </c>
      <c r="G60" s="232" t="str">
        <f>IFERROR("1:"&amp;ROUND('In-Kind Contributions'!$H71/$H54,2),"")</f>
        <v/>
      </c>
    </row>
    <row r="63" spans="1:11">
      <c r="B63" s="83"/>
      <c r="J63" s="5"/>
      <c r="K63" s="5"/>
    </row>
    <row r="64" spans="1:11">
      <c r="B64" s="83"/>
      <c r="C64" s="5"/>
      <c r="D64" s="5"/>
      <c r="E64" s="5"/>
      <c r="F64" s="5"/>
      <c r="G64" s="5"/>
      <c r="H64" s="5"/>
      <c r="I64" s="5"/>
      <c r="J64" s="5"/>
      <c r="K64" s="5"/>
    </row>
    <row r="65" spans="2:11">
      <c r="B65" s="83"/>
      <c r="C65" s="5"/>
      <c r="D65" s="5"/>
      <c r="E65" s="5"/>
      <c r="F65" s="5"/>
      <c r="G65" s="5"/>
      <c r="H65" s="5"/>
      <c r="I65" s="5"/>
      <c r="J65" s="5"/>
      <c r="K65" s="5"/>
    </row>
    <row r="66" spans="2:11">
      <c r="B66" s="83"/>
      <c r="C66" s="5"/>
      <c r="D66" s="5"/>
      <c r="E66" s="5"/>
      <c r="F66" s="5"/>
      <c r="G66" s="5"/>
      <c r="H66" s="5"/>
      <c r="I66" s="5"/>
      <c r="J66" s="5"/>
      <c r="K66" s="5"/>
    </row>
    <row r="67" spans="2:11">
      <c r="B67" s="83"/>
      <c r="C67" s="5"/>
      <c r="D67" s="5"/>
      <c r="E67" s="5"/>
      <c r="F67" s="5"/>
      <c r="G67" s="5"/>
      <c r="H67" s="5"/>
      <c r="I67" s="5"/>
      <c r="J67" s="5"/>
      <c r="K67" s="5"/>
    </row>
    <row r="68" spans="2:11">
      <c r="B68" s="83"/>
      <c r="C68" s="5"/>
      <c r="D68" s="5"/>
      <c r="E68" s="5"/>
      <c r="F68" s="92"/>
      <c r="G68" s="5"/>
      <c r="H68" s="5"/>
      <c r="I68" s="5"/>
      <c r="J68" s="5"/>
      <c r="K68" s="5"/>
    </row>
  </sheetData>
  <sheetProtection deleteRows="0"/>
  <mergeCells count="14">
    <mergeCell ref="B26:C26"/>
    <mergeCell ref="B17:C17"/>
    <mergeCell ref="B20:C20"/>
    <mergeCell ref="B21:C21"/>
    <mergeCell ref="B22:C22"/>
    <mergeCell ref="B23:C23"/>
    <mergeCell ref="B24:C24"/>
    <mergeCell ref="B25:C25"/>
    <mergeCell ref="B11:C11"/>
    <mergeCell ref="B16:C16"/>
    <mergeCell ref="B15:C15"/>
    <mergeCell ref="B14:C14"/>
    <mergeCell ref="B13:C13"/>
    <mergeCell ref="B12:C12"/>
  </mergeCells>
  <conditionalFormatting sqref="B60">
    <cfRule type="expression" dxfId="125" priority="78">
      <formula>#REF!="Greater than 2"</formula>
    </cfRule>
    <cfRule type="expression" dxfId="124" priority="79">
      <formula>#REF!="Not greater than 2"</formula>
    </cfRule>
  </conditionalFormatting>
  <conditionalFormatting sqref="C51:C53">
    <cfRule type="expression" dxfId="123" priority="39">
      <formula>$C$115="Within Funding Parameters"</formula>
    </cfRule>
    <cfRule type="expression" dxfId="122" priority="41">
      <formula>$C$115="Outside Funding Parameters"</formula>
    </cfRule>
  </conditionalFormatting>
  <conditionalFormatting sqref="C60:G60">
    <cfRule type="expression" dxfId="121" priority="82">
      <formula>B31="Greater than 2"</formula>
    </cfRule>
    <cfRule type="expression" dxfId="120" priority="83">
      <formula>B31="Not greater than 2"</formula>
    </cfRule>
  </conditionalFormatting>
  <conditionalFormatting sqref="C46:H46 D47:H47">
    <cfRule type="cellIs" dxfId="119" priority="1" operator="equal">
      <formula>"Surplus Contributions"</formula>
    </cfRule>
    <cfRule type="cellIs" dxfId="118" priority="2" operator="equal">
      <formula>"Outside Funding Parameters"</formula>
    </cfRule>
    <cfRule type="cellIs" dxfId="117" priority="3" operator="equal">
      <formula>"Within Funding Parameters"</formula>
    </cfRule>
  </conditionalFormatting>
  <conditionalFormatting sqref="D51:D53">
    <cfRule type="expression" dxfId="116" priority="38">
      <formula>$D$115="outside funding parameters"</formula>
    </cfRule>
    <cfRule type="expression" dxfId="115" priority="40">
      <formula>$D$115="within funding parameters"</formula>
    </cfRule>
  </conditionalFormatting>
  <conditionalFormatting sqref="E51:E53">
    <cfRule type="expression" dxfId="114" priority="36">
      <formula>$E$115="within funding parameters"</formula>
    </cfRule>
    <cfRule type="expression" dxfId="113" priority="37">
      <formula>$E$115="outside funding parameters"</formula>
    </cfRule>
  </conditionalFormatting>
  <conditionalFormatting sqref="F51:F53">
    <cfRule type="expression" dxfId="112" priority="34">
      <formula>$F$115="within funding parameters"</formula>
    </cfRule>
    <cfRule type="expression" dxfId="111" priority="35">
      <formula>$F$115="outside funding parameters"</formula>
    </cfRule>
  </conditionalFormatting>
  <conditionalFormatting sqref="G51:G53">
    <cfRule type="expression" dxfId="110" priority="32">
      <formula>$G$115="within funding parameters"</formula>
    </cfRule>
    <cfRule type="expression" dxfId="109" priority="33">
      <formula>$G$115="outside funding parameters"</formula>
    </cfRule>
  </conditionalFormatting>
  <conditionalFormatting sqref="H51:H53">
    <cfRule type="expression" dxfId="108" priority="30">
      <formula>$H$115="within funding parameters"</formula>
    </cfRule>
    <cfRule type="expression" dxfId="107" priority="31">
      <formula>$H$115="outside funding parameters"</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C10BE-0380-4240-850D-8354FA1E36EE}">
  <sheetPr codeName="Sheet2"/>
  <dimension ref="A2:T91"/>
  <sheetViews>
    <sheetView showGridLines="0" topLeftCell="A17" zoomScale="85" zoomScaleNormal="85" workbookViewId="0">
      <selection activeCell="C48" sqref="C48"/>
    </sheetView>
  </sheetViews>
  <sheetFormatPr defaultColWidth="8.85546875" defaultRowHeight="14.1"/>
  <cols>
    <col min="1" max="1" width="1.42578125" style="83" customWidth="1"/>
    <col min="2" max="2" width="64.42578125" style="5" bestFit="1" customWidth="1"/>
    <col min="3" max="3" width="45" style="5" bestFit="1" customWidth="1"/>
    <col min="4" max="4" width="20.42578125" style="5" customWidth="1"/>
    <col min="5" max="5" width="20.85546875" style="5" customWidth="1"/>
    <col min="6" max="6" width="41.5703125" style="5" customWidth="1"/>
    <col min="7" max="7" width="18.140625" style="5" customWidth="1"/>
    <col min="8" max="8" width="42.5703125" style="5" customWidth="1"/>
    <col min="9" max="9" width="18.140625" style="5" customWidth="1"/>
    <col min="10" max="10" width="42.5703125" style="5" customWidth="1"/>
    <col min="11" max="11" width="18.140625" style="5" customWidth="1"/>
    <col min="12" max="12" width="42.5703125" style="5" customWidth="1"/>
    <col min="13" max="13" width="18.140625" style="5" customWidth="1"/>
    <col min="14" max="14" width="42.5703125" style="5" customWidth="1"/>
    <col min="15" max="15" width="14.42578125" style="5" customWidth="1"/>
    <col min="16" max="16" width="19.42578125" style="5" customWidth="1"/>
    <col min="17" max="17" width="10.5703125" style="5" customWidth="1"/>
    <col min="18" max="18" width="19.140625" style="5" bestFit="1" customWidth="1"/>
    <col min="19" max="16384" width="8.85546875" style="5"/>
  </cols>
  <sheetData>
    <row r="2" spans="1:20" s="21" customFormat="1">
      <c r="A2" s="82"/>
      <c r="B2" s="233" t="s">
        <v>139</v>
      </c>
      <c r="C2" s="20"/>
      <c r="D2" s="99"/>
      <c r="E2" s="100"/>
      <c r="Q2" s="5"/>
      <c r="R2" s="5"/>
    </row>
    <row r="3" spans="1:20" s="8" customFormat="1">
      <c r="A3" s="82"/>
      <c r="Q3" s="5"/>
      <c r="R3" s="5"/>
    </row>
    <row r="4" spans="1:20" s="8" customFormat="1">
      <c r="A4" s="82"/>
      <c r="B4" s="234" t="s">
        <v>60</v>
      </c>
      <c r="C4" s="234">
        <f>'Cash Budget - Projects'!C4</f>
        <v>0</v>
      </c>
      <c r="Q4" s="5"/>
    </row>
    <row r="5" spans="1:20" s="8" customFormat="1">
      <c r="A5" s="82"/>
      <c r="B5" s="234" t="s">
        <v>61</v>
      </c>
      <c r="C5" s="235">
        <f>'Cash Budget - Projects'!C5</f>
        <v>0</v>
      </c>
      <c r="Q5" s="5"/>
    </row>
    <row r="6" spans="1:20" s="8" customFormat="1">
      <c r="A6" s="82"/>
      <c r="B6" s="234" t="s">
        <v>62</v>
      </c>
      <c r="C6" s="234">
        <f>'Cash Budget - Projects'!C6</f>
        <v>0</v>
      </c>
      <c r="Q6" s="5"/>
    </row>
    <row r="7" spans="1:20" s="8" customFormat="1" ht="12.95">
      <c r="A7" s="82"/>
    </row>
    <row r="8" spans="1:20" s="8" customFormat="1">
      <c r="A8" s="82"/>
      <c r="B8" s="224" t="s">
        <v>139</v>
      </c>
    </row>
    <row r="10" spans="1:20">
      <c r="B10" s="236" t="s">
        <v>140</v>
      </c>
      <c r="C10" s="237"/>
      <c r="D10" s="238"/>
      <c r="E10" s="238"/>
      <c r="F10" s="238"/>
      <c r="G10" s="238"/>
      <c r="H10" s="238"/>
      <c r="I10" s="238"/>
      <c r="J10" s="238"/>
      <c r="K10" s="238"/>
      <c r="L10" s="238"/>
      <c r="M10" s="238"/>
      <c r="N10" s="238"/>
      <c r="O10" s="238"/>
      <c r="P10" s="238"/>
    </row>
    <row r="11" spans="1:20" ht="14.65" customHeight="1">
      <c r="B11" s="239"/>
      <c r="C11" s="239"/>
      <c r="D11" s="239"/>
      <c r="E11" s="338" t="s">
        <v>64</v>
      </c>
      <c r="F11" s="336"/>
      <c r="G11" s="338" t="s">
        <v>65</v>
      </c>
      <c r="H11" s="336"/>
      <c r="I11" s="338" t="s">
        <v>66</v>
      </c>
      <c r="J11" s="336"/>
      <c r="K11" s="338" t="s">
        <v>67</v>
      </c>
      <c r="L11" s="336"/>
      <c r="M11" s="338" t="s">
        <v>68</v>
      </c>
      <c r="N11" s="336"/>
      <c r="O11" s="340" t="s">
        <v>71</v>
      </c>
      <c r="P11" s="341"/>
    </row>
    <row r="12" spans="1:20" ht="14.65" customHeight="1">
      <c r="B12" s="95"/>
      <c r="C12" s="95"/>
      <c r="D12" s="95"/>
      <c r="E12" s="339"/>
      <c r="F12" s="357"/>
      <c r="G12" s="339"/>
      <c r="H12" s="357"/>
      <c r="I12" s="339"/>
      <c r="J12" s="357"/>
      <c r="K12" s="339"/>
      <c r="L12" s="357"/>
      <c r="M12" s="339"/>
      <c r="N12" s="357"/>
      <c r="O12" s="342"/>
      <c r="P12" s="358"/>
    </row>
    <row r="13" spans="1:20" s="6" customFormat="1">
      <c r="A13" s="83"/>
      <c r="B13" s="240" t="s">
        <v>80</v>
      </c>
      <c r="C13" s="241" t="s">
        <v>81</v>
      </c>
      <c r="D13" s="241" t="s">
        <v>82</v>
      </c>
      <c r="E13" s="241" t="s">
        <v>83</v>
      </c>
      <c r="F13" s="120" t="s">
        <v>141</v>
      </c>
      <c r="G13" s="120" t="s">
        <v>85</v>
      </c>
      <c r="H13" s="120" t="s">
        <v>142</v>
      </c>
      <c r="I13" s="120" t="s">
        <v>87</v>
      </c>
      <c r="J13" s="120" t="s">
        <v>143</v>
      </c>
      <c r="K13" s="120" t="s">
        <v>89</v>
      </c>
      <c r="L13" s="120" t="s">
        <v>144</v>
      </c>
      <c r="M13" s="120" t="s">
        <v>91</v>
      </c>
      <c r="N13" s="120" t="s">
        <v>145</v>
      </c>
      <c r="O13" s="241" t="s">
        <v>146</v>
      </c>
      <c r="P13" s="242" t="s">
        <v>94</v>
      </c>
      <c r="Q13" s="5"/>
      <c r="R13" s="5"/>
      <c r="S13" s="5"/>
      <c r="T13" s="5"/>
    </row>
    <row r="14" spans="1:20" s="50" customFormat="1" ht="30" customHeight="1">
      <c r="A14" s="84" t="s">
        <v>140</v>
      </c>
      <c r="B14" s="243"/>
      <c r="C14" s="244"/>
      <c r="D14" s="244"/>
      <c r="E14" s="245"/>
      <c r="F14" s="246"/>
      <c r="G14" s="245"/>
      <c r="H14" s="246"/>
      <c r="I14" s="245"/>
      <c r="J14" s="246"/>
      <c r="K14" s="245"/>
      <c r="L14" s="246"/>
      <c r="M14" s="245"/>
      <c r="N14" s="246"/>
      <c r="O14" s="247">
        <f t="shared" ref="O14:O27" si="0">SUM($E14,$G14,$I14,$K14,$M14)</f>
        <v>0</v>
      </c>
      <c r="P14" s="248">
        <f t="shared" ref="P14:P27" si="1">SUM($F14,$H14,$J14,$L14,$N14)</f>
        <v>0</v>
      </c>
    </row>
    <row r="15" spans="1:20" s="50" customFormat="1" ht="30" customHeight="1">
      <c r="A15" s="84" t="s">
        <v>140</v>
      </c>
      <c r="B15" s="243"/>
      <c r="C15" s="244"/>
      <c r="D15" s="244"/>
      <c r="E15" s="245"/>
      <c r="F15" s="246"/>
      <c r="G15" s="245"/>
      <c r="H15" s="246"/>
      <c r="I15" s="245"/>
      <c r="J15" s="246"/>
      <c r="K15" s="245"/>
      <c r="L15" s="246"/>
      <c r="M15" s="245"/>
      <c r="N15" s="246"/>
      <c r="O15" s="247">
        <f t="shared" si="0"/>
        <v>0</v>
      </c>
      <c r="P15" s="248">
        <f t="shared" si="1"/>
        <v>0</v>
      </c>
    </row>
    <row r="16" spans="1:20" s="50" customFormat="1" ht="30" customHeight="1">
      <c r="A16" s="84" t="s">
        <v>140</v>
      </c>
      <c r="B16" s="243"/>
      <c r="C16" s="244"/>
      <c r="D16" s="244"/>
      <c r="E16" s="245"/>
      <c r="F16" s="246"/>
      <c r="G16" s="245"/>
      <c r="H16" s="246"/>
      <c r="I16" s="245"/>
      <c r="J16" s="246"/>
      <c r="K16" s="245"/>
      <c r="L16" s="246"/>
      <c r="M16" s="245"/>
      <c r="N16" s="246"/>
      <c r="O16" s="247">
        <f t="shared" si="0"/>
        <v>0</v>
      </c>
      <c r="P16" s="248">
        <f t="shared" si="1"/>
        <v>0</v>
      </c>
    </row>
    <row r="17" spans="1:16" s="50" customFormat="1" ht="30" customHeight="1">
      <c r="A17" s="84" t="s">
        <v>140</v>
      </c>
      <c r="B17" s="243"/>
      <c r="C17" s="244"/>
      <c r="D17" s="244"/>
      <c r="E17" s="245"/>
      <c r="F17" s="246"/>
      <c r="G17" s="245"/>
      <c r="H17" s="246"/>
      <c r="I17" s="245"/>
      <c r="J17" s="246"/>
      <c r="K17" s="245"/>
      <c r="L17" s="246"/>
      <c r="M17" s="245"/>
      <c r="N17" s="246"/>
      <c r="O17" s="247">
        <f t="shared" si="0"/>
        <v>0</v>
      </c>
      <c r="P17" s="248">
        <f t="shared" si="1"/>
        <v>0</v>
      </c>
    </row>
    <row r="18" spans="1:16" s="50" customFormat="1" ht="30" customHeight="1">
      <c r="A18" s="84" t="s">
        <v>140</v>
      </c>
      <c r="B18" s="243"/>
      <c r="C18" s="244"/>
      <c r="D18" s="244"/>
      <c r="E18" s="245"/>
      <c r="F18" s="246"/>
      <c r="G18" s="245"/>
      <c r="H18" s="246"/>
      <c r="I18" s="245"/>
      <c r="J18" s="246"/>
      <c r="K18" s="245"/>
      <c r="L18" s="246"/>
      <c r="M18" s="245"/>
      <c r="N18" s="246"/>
      <c r="O18" s="247">
        <f t="shared" si="0"/>
        <v>0</v>
      </c>
      <c r="P18" s="248">
        <f t="shared" si="1"/>
        <v>0</v>
      </c>
    </row>
    <row r="19" spans="1:16" s="50" customFormat="1" ht="30" customHeight="1">
      <c r="A19" s="84" t="s">
        <v>140</v>
      </c>
      <c r="B19" s="243"/>
      <c r="C19" s="244"/>
      <c r="D19" s="244"/>
      <c r="E19" s="245"/>
      <c r="F19" s="246"/>
      <c r="G19" s="245"/>
      <c r="H19" s="246"/>
      <c r="I19" s="245"/>
      <c r="J19" s="246"/>
      <c r="K19" s="245"/>
      <c r="L19" s="246"/>
      <c r="M19" s="245"/>
      <c r="N19" s="246"/>
      <c r="O19" s="247">
        <f t="shared" si="0"/>
        <v>0</v>
      </c>
      <c r="P19" s="248">
        <f t="shared" si="1"/>
        <v>0</v>
      </c>
    </row>
    <row r="20" spans="1:16" s="50" customFormat="1" ht="30" customHeight="1">
      <c r="A20" s="84" t="s">
        <v>140</v>
      </c>
      <c r="B20" s="243"/>
      <c r="C20" s="244"/>
      <c r="D20" s="244"/>
      <c r="E20" s="245"/>
      <c r="F20" s="246"/>
      <c r="G20" s="245"/>
      <c r="H20" s="246"/>
      <c r="I20" s="245"/>
      <c r="J20" s="246"/>
      <c r="K20" s="245"/>
      <c r="L20" s="246"/>
      <c r="M20" s="245"/>
      <c r="N20" s="246"/>
      <c r="O20" s="247">
        <f t="shared" si="0"/>
        <v>0</v>
      </c>
      <c r="P20" s="248">
        <f t="shared" si="1"/>
        <v>0</v>
      </c>
    </row>
    <row r="21" spans="1:16" s="50" customFormat="1" ht="30" customHeight="1">
      <c r="A21" s="84" t="s">
        <v>140</v>
      </c>
      <c r="B21" s="243"/>
      <c r="C21" s="244"/>
      <c r="D21" s="244"/>
      <c r="E21" s="245"/>
      <c r="F21" s="246"/>
      <c r="G21" s="245"/>
      <c r="H21" s="246"/>
      <c r="I21" s="245"/>
      <c r="J21" s="246"/>
      <c r="K21" s="245"/>
      <c r="L21" s="246"/>
      <c r="M21" s="245"/>
      <c r="N21" s="246"/>
      <c r="O21" s="247">
        <f t="shared" si="0"/>
        <v>0</v>
      </c>
      <c r="P21" s="248">
        <f t="shared" si="1"/>
        <v>0</v>
      </c>
    </row>
    <row r="22" spans="1:16" s="50" customFormat="1" ht="30" customHeight="1">
      <c r="A22" s="84" t="s">
        <v>140</v>
      </c>
      <c r="B22" s="243"/>
      <c r="C22" s="244"/>
      <c r="D22" s="244"/>
      <c r="E22" s="245"/>
      <c r="F22" s="246"/>
      <c r="G22" s="245"/>
      <c r="H22" s="246"/>
      <c r="I22" s="245"/>
      <c r="J22" s="246"/>
      <c r="K22" s="245"/>
      <c r="L22" s="246"/>
      <c r="M22" s="245"/>
      <c r="N22" s="246"/>
      <c r="O22" s="247">
        <f t="shared" si="0"/>
        <v>0</v>
      </c>
      <c r="P22" s="248">
        <f t="shared" si="1"/>
        <v>0</v>
      </c>
    </row>
    <row r="23" spans="1:16" s="50" customFormat="1" ht="30" customHeight="1">
      <c r="A23" s="84" t="s">
        <v>140</v>
      </c>
      <c r="B23" s="243"/>
      <c r="C23" s="244"/>
      <c r="D23" s="244"/>
      <c r="E23" s="245"/>
      <c r="F23" s="246"/>
      <c r="G23" s="245"/>
      <c r="H23" s="246"/>
      <c r="I23" s="245"/>
      <c r="J23" s="246"/>
      <c r="K23" s="245"/>
      <c r="L23" s="246"/>
      <c r="M23" s="245"/>
      <c r="N23" s="246"/>
      <c r="O23" s="247">
        <f t="shared" si="0"/>
        <v>0</v>
      </c>
      <c r="P23" s="248">
        <f t="shared" si="1"/>
        <v>0</v>
      </c>
    </row>
    <row r="24" spans="1:16" s="50" customFormat="1" ht="30" customHeight="1">
      <c r="A24" s="84" t="s">
        <v>140</v>
      </c>
      <c r="B24" s="243"/>
      <c r="C24" s="244"/>
      <c r="D24" s="244"/>
      <c r="E24" s="245"/>
      <c r="F24" s="246"/>
      <c r="G24" s="245"/>
      <c r="H24" s="246"/>
      <c r="I24" s="245"/>
      <c r="J24" s="246"/>
      <c r="K24" s="245"/>
      <c r="L24" s="246"/>
      <c r="M24" s="245"/>
      <c r="N24" s="246"/>
      <c r="O24" s="247">
        <f t="shared" si="0"/>
        <v>0</v>
      </c>
      <c r="P24" s="248">
        <f t="shared" si="1"/>
        <v>0</v>
      </c>
    </row>
    <row r="25" spans="1:16" s="50" customFormat="1" ht="30" customHeight="1">
      <c r="A25" s="84" t="s">
        <v>140</v>
      </c>
      <c r="B25" s="243"/>
      <c r="C25" s="244"/>
      <c r="D25" s="244"/>
      <c r="E25" s="245"/>
      <c r="F25" s="246"/>
      <c r="G25" s="245"/>
      <c r="H25" s="246"/>
      <c r="I25" s="245"/>
      <c r="J25" s="246"/>
      <c r="K25" s="245"/>
      <c r="L25" s="246"/>
      <c r="M25" s="245"/>
      <c r="N25" s="246"/>
      <c r="O25" s="247">
        <f t="shared" si="0"/>
        <v>0</v>
      </c>
      <c r="P25" s="248">
        <f t="shared" si="1"/>
        <v>0</v>
      </c>
    </row>
    <row r="26" spans="1:16" s="50" customFormat="1" ht="30" customHeight="1">
      <c r="A26" s="84"/>
      <c r="B26" s="243"/>
      <c r="C26" s="244"/>
      <c r="D26" s="244"/>
      <c r="E26" s="245"/>
      <c r="F26" s="246"/>
      <c r="G26" s="245"/>
      <c r="H26" s="246"/>
      <c r="I26" s="245"/>
      <c r="J26" s="246"/>
      <c r="K26" s="245"/>
      <c r="L26" s="246"/>
      <c r="M26" s="245"/>
      <c r="N26" s="246"/>
      <c r="O26" s="247">
        <f>SUM($E26,$G26,$I26,$K26,$M26)</f>
        <v>0</v>
      </c>
      <c r="P26" s="248">
        <f>SUM($F26,$H26,$J26,$L26,$N26)</f>
        <v>0</v>
      </c>
    </row>
    <row r="27" spans="1:16" s="50" customFormat="1" ht="30" customHeight="1">
      <c r="A27" s="84" t="s">
        <v>140</v>
      </c>
      <c r="B27" s="243"/>
      <c r="C27" s="244"/>
      <c r="D27" s="244"/>
      <c r="E27" s="245"/>
      <c r="F27" s="246"/>
      <c r="G27" s="245"/>
      <c r="H27" s="246"/>
      <c r="I27" s="245"/>
      <c r="J27" s="246"/>
      <c r="K27" s="245"/>
      <c r="L27" s="246"/>
      <c r="M27" s="245"/>
      <c r="N27" s="246"/>
      <c r="O27" s="247">
        <f t="shared" si="0"/>
        <v>0</v>
      </c>
      <c r="P27" s="248">
        <f t="shared" si="1"/>
        <v>0</v>
      </c>
    </row>
    <row r="28" spans="1:16" s="7" customFormat="1">
      <c r="A28" s="85"/>
      <c r="B28" s="249" t="s">
        <v>71</v>
      </c>
      <c r="C28" s="359"/>
      <c r="D28" s="360"/>
      <c r="E28" s="250">
        <f>SUM($E14:$E27)</f>
        <v>0</v>
      </c>
      <c r="F28" s="251">
        <f>SUM($F14:$F27)</f>
        <v>0</v>
      </c>
      <c r="G28" s="250">
        <f>SUM($G14:$G27)</f>
        <v>0</v>
      </c>
      <c r="H28" s="251">
        <f>SUM($H14:$H27)</f>
        <v>0</v>
      </c>
      <c r="I28" s="250">
        <f>SUM($I14:$I27)</f>
        <v>0</v>
      </c>
      <c r="J28" s="251">
        <f>SUM($J14:$J27)</f>
        <v>0</v>
      </c>
      <c r="K28" s="250">
        <f>SUM($K14:$K27)</f>
        <v>0</v>
      </c>
      <c r="L28" s="251">
        <f>SUM($L14:$L27)</f>
        <v>0</v>
      </c>
      <c r="M28" s="250">
        <f>SUM($M14:$M27)</f>
        <v>0</v>
      </c>
      <c r="N28" s="251">
        <f>SUM($N14:$N27)</f>
        <v>0</v>
      </c>
      <c r="O28" s="252">
        <f>SUM($O14:$O27)</f>
        <v>0</v>
      </c>
      <c r="P28" s="253">
        <f>SUM($P14:$P27)</f>
        <v>0</v>
      </c>
    </row>
    <row r="29" spans="1:16">
      <c r="B29" s="30" t="s">
        <v>98</v>
      </c>
    </row>
    <row r="30" spans="1:16">
      <c r="B30" s="30"/>
    </row>
    <row r="31" spans="1:16">
      <c r="B31" s="30"/>
    </row>
    <row r="32" spans="1:16">
      <c r="B32" s="236" t="s">
        <v>147</v>
      </c>
      <c r="C32" s="237"/>
      <c r="D32" s="238"/>
      <c r="E32" s="238"/>
      <c r="F32" s="238"/>
      <c r="G32" s="238"/>
      <c r="H32" s="254"/>
      <c r="I32" s="255"/>
      <c r="J32" s="94"/>
      <c r="K32" s="94"/>
      <c r="L32" s="94"/>
      <c r="M32" s="94"/>
      <c r="N32" s="94"/>
      <c r="O32" s="94"/>
      <c r="P32" s="6"/>
    </row>
    <row r="33" spans="1:15">
      <c r="B33" s="239"/>
      <c r="C33" s="256"/>
      <c r="D33" s="332" t="s">
        <v>64</v>
      </c>
      <c r="E33" s="333" t="s">
        <v>65</v>
      </c>
      <c r="F33" s="332" t="s">
        <v>66</v>
      </c>
      <c r="G33" s="333" t="s">
        <v>67</v>
      </c>
      <c r="H33" s="332" t="s">
        <v>68</v>
      </c>
      <c r="I33" s="336" t="s">
        <v>71</v>
      </c>
      <c r="J33" s="106"/>
      <c r="K33" s="106"/>
      <c r="L33" s="106"/>
      <c r="M33" s="106"/>
      <c r="N33" s="335"/>
      <c r="O33" s="335"/>
    </row>
    <row r="34" spans="1:15" ht="15" customHeight="1">
      <c r="B34" s="95"/>
      <c r="C34" s="101"/>
      <c r="D34" s="332"/>
      <c r="E34" s="334"/>
      <c r="F34" s="332"/>
      <c r="G34" s="334"/>
      <c r="H34" s="332"/>
      <c r="I34" s="337"/>
      <c r="J34" s="106"/>
      <c r="K34" s="106"/>
      <c r="L34" s="106"/>
      <c r="M34" s="106"/>
      <c r="N34" s="335"/>
      <c r="O34" s="335"/>
    </row>
    <row r="35" spans="1:15" s="6" customFormat="1">
      <c r="A35" s="83"/>
      <c r="B35" s="96" t="s">
        <v>148</v>
      </c>
      <c r="C35" s="308" t="s">
        <v>81</v>
      </c>
      <c r="D35" s="257" t="s">
        <v>83</v>
      </c>
      <c r="E35" s="257" t="s">
        <v>83</v>
      </c>
      <c r="F35" s="257" t="s">
        <v>83</v>
      </c>
      <c r="G35" s="257" t="s">
        <v>83</v>
      </c>
      <c r="H35" s="258" t="s">
        <v>83</v>
      </c>
      <c r="I35" s="357"/>
      <c r="J35" s="51"/>
      <c r="K35" s="51"/>
      <c r="L35" s="14"/>
      <c r="M35" s="14"/>
      <c r="N35" s="14"/>
      <c r="O35" s="14"/>
    </row>
    <row r="36" spans="1:15" s="50" customFormat="1" ht="30" customHeight="1">
      <c r="A36" s="84" t="s">
        <v>149</v>
      </c>
      <c r="B36" s="244"/>
      <c r="C36" s="244"/>
      <c r="D36" s="259"/>
      <c r="E36" s="260" t="str">
        <f>IFERROR(ROUND(SUM('In-Kind Contributions'!#REF!*(1+$E$34)),0),"")</f>
        <v/>
      </c>
      <c r="F36" s="259"/>
      <c r="G36" s="260" t="str">
        <f>IFERROR(ROUND(SUM('In-Kind Contributions'!#REF!*(1+$G$34)),0),"")</f>
        <v/>
      </c>
      <c r="H36" s="259"/>
      <c r="I36" s="261">
        <f>SUM(D36:H36)</f>
        <v>0</v>
      </c>
      <c r="J36" s="107"/>
      <c r="K36" s="108"/>
      <c r="L36" s="107"/>
      <c r="M36" s="108"/>
      <c r="N36" s="109"/>
      <c r="O36" s="110"/>
    </row>
    <row r="37" spans="1:15" s="50" customFormat="1" ht="30" customHeight="1">
      <c r="A37" s="84" t="s">
        <v>149</v>
      </c>
      <c r="B37" s="244"/>
      <c r="C37" s="244"/>
      <c r="D37" s="259"/>
      <c r="E37" s="260" t="str">
        <f>IFERROR(ROUND(SUM('In-Kind Contributions'!#REF!*(1+$E$34)),0),"")</f>
        <v/>
      </c>
      <c r="F37" s="259"/>
      <c r="G37" s="260" t="str">
        <f>IFERROR(ROUND(SUM('In-Kind Contributions'!#REF!*(1+$G$34)),0),"")</f>
        <v/>
      </c>
      <c r="H37" s="259"/>
      <c r="I37" s="261">
        <f t="shared" ref="I37:I39" si="2">SUM(D37:H37)</f>
        <v>0</v>
      </c>
      <c r="J37" s="107"/>
      <c r="K37" s="108"/>
      <c r="L37" s="107"/>
      <c r="M37" s="108"/>
      <c r="N37" s="109"/>
      <c r="O37" s="110"/>
    </row>
    <row r="38" spans="1:15" s="50" customFormat="1" ht="30" customHeight="1">
      <c r="A38" s="84" t="s">
        <v>149</v>
      </c>
      <c r="B38" s="244"/>
      <c r="C38" s="244"/>
      <c r="D38" s="259"/>
      <c r="E38" s="260" t="str">
        <f>IFERROR(ROUND(SUM('In-Kind Contributions'!#REF!*(1+$E$34)),0),"")</f>
        <v/>
      </c>
      <c r="F38" s="259"/>
      <c r="G38" s="260" t="str">
        <f>IFERROR(ROUND(SUM('In-Kind Contributions'!#REF!*(1+$G$34)),0),"")</f>
        <v/>
      </c>
      <c r="H38" s="259"/>
      <c r="I38" s="261">
        <f t="shared" si="2"/>
        <v>0</v>
      </c>
      <c r="J38" s="107"/>
      <c r="K38" s="108"/>
      <c r="L38" s="107"/>
      <c r="M38" s="108"/>
      <c r="N38" s="109"/>
      <c r="O38" s="110"/>
    </row>
    <row r="39" spans="1:15" s="50" customFormat="1" ht="30" customHeight="1">
      <c r="A39" s="84" t="s">
        <v>149</v>
      </c>
      <c r="B39" s="244"/>
      <c r="C39" s="244"/>
      <c r="D39" s="259"/>
      <c r="E39" s="260" t="str">
        <f>IFERROR(ROUND(SUM('In-Kind Contributions'!#REF!*(1+$E$34)),0),"")</f>
        <v/>
      </c>
      <c r="F39" s="259"/>
      <c r="G39" s="260" t="str">
        <f>IFERROR(ROUND(SUM('In-Kind Contributions'!#REF!*(1+$G$34)),0),"")</f>
        <v/>
      </c>
      <c r="H39" s="259"/>
      <c r="I39" s="261">
        <f t="shared" si="2"/>
        <v>0</v>
      </c>
      <c r="J39" s="107"/>
      <c r="K39" s="108"/>
      <c r="L39" s="107"/>
      <c r="M39" s="108"/>
      <c r="N39" s="109"/>
      <c r="O39" s="110"/>
    </row>
    <row r="40" spans="1:15" ht="20.25" customHeight="1">
      <c r="B40" s="249" t="s">
        <v>71</v>
      </c>
      <c r="C40" s="262"/>
      <c r="D40" s="263">
        <f>SUM(D36:D39)</f>
        <v>0</v>
      </c>
      <c r="E40" s="263">
        <f t="shared" ref="E40:I40" si="3">SUM(E36:E39)</f>
        <v>0</v>
      </c>
      <c r="F40" s="263">
        <f>SUM(F36:F39)</f>
        <v>0</v>
      </c>
      <c r="G40" s="263">
        <f t="shared" si="3"/>
        <v>0</v>
      </c>
      <c r="H40" s="263">
        <f>SUM(H36:H39)</f>
        <v>0</v>
      </c>
      <c r="I40" s="264">
        <f t="shared" si="3"/>
        <v>0</v>
      </c>
      <c r="J40" s="111"/>
      <c r="K40" s="108"/>
      <c r="L40" s="111"/>
      <c r="M40" s="108"/>
      <c r="N40" s="112"/>
      <c r="O40" s="113"/>
    </row>
    <row r="41" spans="1:15">
      <c r="B41" s="30"/>
    </row>
    <row r="42" spans="1:15">
      <c r="B42" s="30"/>
    </row>
    <row r="43" spans="1:15">
      <c r="B43" s="205" t="s">
        <v>150</v>
      </c>
      <c r="C43" s="207"/>
      <c r="D43" s="207"/>
      <c r="E43" s="207"/>
      <c r="F43" s="265"/>
      <c r="G43" s="102"/>
      <c r="H43" s="102"/>
      <c r="I43" s="102"/>
    </row>
    <row r="44" spans="1:15">
      <c r="B44" s="266" t="s">
        <v>80</v>
      </c>
      <c r="C44" s="266" t="s">
        <v>101</v>
      </c>
      <c r="D44" s="267" t="s">
        <v>64</v>
      </c>
      <c r="E44" s="267" t="s">
        <v>65</v>
      </c>
      <c r="F44" s="267" t="s">
        <v>66</v>
      </c>
      <c r="G44" s="267" t="s">
        <v>151</v>
      </c>
      <c r="H44" s="267" t="s">
        <v>152</v>
      </c>
      <c r="I44" s="268" t="s">
        <v>102</v>
      </c>
    </row>
    <row r="45" spans="1:15" ht="20.25" customHeight="1">
      <c r="A45" s="83" t="s">
        <v>150</v>
      </c>
      <c r="B45" s="244"/>
      <c r="C45" s="269"/>
      <c r="D45" s="270"/>
      <c r="E45" s="270"/>
      <c r="F45" s="270"/>
      <c r="G45" s="270"/>
      <c r="H45" s="270"/>
      <c r="I45" s="271">
        <f t="shared" ref="I45:I64" si="4">SUM($D45:$E45)</f>
        <v>0</v>
      </c>
    </row>
    <row r="46" spans="1:15" ht="20.25" customHeight="1">
      <c r="A46" s="83" t="s">
        <v>150</v>
      </c>
      <c r="B46" s="244"/>
      <c r="C46" s="269"/>
      <c r="D46" s="272"/>
      <c r="E46" s="272"/>
      <c r="F46" s="272"/>
      <c r="G46" s="272"/>
      <c r="H46" s="272"/>
      <c r="I46" s="271">
        <f t="shared" si="4"/>
        <v>0</v>
      </c>
    </row>
    <row r="47" spans="1:15" ht="20.25" customHeight="1">
      <c r="A47" s="83" t="s">
        <v>150</v>
      </c>
      <c r="B47" s="244"/>
      <c r="C47" s="269"/>
      <c r="D47" s="272"/>
      <c r="E47" s="272"/>
      <c r="F47" s="272"/>
      <c r="G47" s="272"/>
      <c r="H47" s="272"/>
      <c r="I47" s="271">
        <f t="shared" si="4"/>
        <v>0</v>
      </c>
    </row>
    <row r="48" spans="1:15" ht="20.25" customHeight="1">
      <c r="A48" s="83" t="s">
        <v>150</v>
      </c>
      <c r="B48" s="244"/>
      <c r="C48" s="269"/>
      <c r="D48" s="272"/>
      <c r="E48" s="272"/>
      <c r="F48" s="272"/>
      <c r="G48" s="272"/>
      <c r="H48" s="272"/>
      <c r="I48" s="271">
        <f t="shared" si="4"/>
        <v>0</v>
      </c>
    </row>
    <row r="49" spans="1:9" ht="20.25" customHeight="1">
      <c r="A49" s="83" t="s">
        <v>150</v>
      </c>
      <c r="B49" s="244"/>
      <c r="C49" s="269"/>
      <c r="D49" s="272"/>
      <c r="E49" s="272"/>
      <c r="F49" s="272"/>
      <c r="G49" s="272"/>
      <c r="H49" s="272"/>
      <c r="I49" s="271">
        <f t="shared" si="4"/>
        <v>0</v>
      </c>
    </row>
    <row r="50" spans="1:9" ht="20.25" customHeight="1">
      <c r="A50" s="83" t="s">
        <v>150</v>
      </c>
      <c r="B50" s="244"/>
      <c r="C50" s="269"/>
      <c r="D50" s="272"/>
      <c r="E50" s="272"/>
      <c r="F50" s="272"/>
      <c r="G50" s="272"/>
      <c r="H50" s="272"/>
      <c r="I50" s="271">
        <f t="shared" si="4"/>
        <v>0</v>
      </c>
    </row>
    <row r="51" spans="1:9" ht="20.25" customHeight="1">
      <c r="A51" s="83" t="s">
        <v>150</v>
      </c>
      <c r="B51" s="244"/>
      <c r="C51" s="269"/>
      <c r="D51" s="272"/>
      <c r="E51" s="272"/>
      <c r="F51" s="272"/>
      <c r="G51" s="272"/>
      <c r="H51" s="272"/>
      <c r="I51" s="271">
        <f t="shared" si="4"/>
        <v>0</v>
      </c>
    </row>
    <row r="52" spans="1:9" ht="20.25" customHeight="1">
      <c r="A52" s="83" t="s">
        <v>150</v>
      </c>
      <c r="B52" s="244"/>
      <c r="C52" s="269"/>
      <c r="D52" s="272"/>
      <c r="E52" s="272"/>
      <c r="F52" s="272"/>
      <c r="G52" s="272"/>
      <c r="H52" s="272"/>
      <c r="I52" s="271">
        <f t="shared" si="4"/>
        <v>0</v>
      </c>
    </row>
    <row r="53" spans="1:9" ht="20.25" customHeight="1">
      <c r="A53" s="83" t="s">
        <v>150</v>
      </c>
      <c r="B53" s="244"/>
      <c r="C53" s="269"/>
      <c r="D53" s="272"/>
      <c r="E53" s="272"/>
      <c r="F53" s="272"/>
      <c r="G53" s="272"/>
      <c r="H53" s="272"/>
      <c r="I53" s="271">
        <f t="shared" si="4"/>
        <v>0</v>
      </c>
    </row>
    <row r="54" spans="1:9" ht="20.25" customHeight="1">
      <c r="A54" s="83" t="s">
        <v>150</v>
      </c>
      <c r="B54" s="244"/>
      <c r="C54" s="269"/>
      <c r="D54" s="272"/>
      <c r="E54" s="272"/>
      <c r="F54" s="272"/>
      <c r="G54" s="272"/>
      <c r="H54" s="272"/>
      <c r="I54" s="271">
        <f t="shared" si="4"/>
        <v>0</v>
      </c>
    </row>
    <row r="55" spans="1:9" ht="20.25" customHeight="1">
      <c r="A55" s="83" t="s">
        <v>150</v>
      </c>
      <c r="B55" s="244"/>
      <c r="C55" s="269"/>
      <c r="D55" s="272"/>
      <c r="E55" s="272"/>
      <c r="F55" s="272"/>
      <c r="G55" s="272"/>
      <c r="H55" s="272"/>
      <c r="I55" s="271">
        <f t="shared" si="4"/>
        <v>0</v>
      </c>
    </row>
    <row r="56" spans="1:9" ht="20.25" customHeight="1">
      <c r="A56" s="83" t="s">
        <v>150</v>
      </c>
      <c r="B56" s="244"/>
      <c r="C56" s="269"/>
      <c r="D56" s="272"/>
      <c r="E56" s="272"/>
      <c r="F56" s="272"/>
      <c r="G56" s="272"/>
      <c r="H56" s="272"/>
      <c r="I56" s="271">
        <f t="shared" si="4"/>
        <v>0</v>
      </c>
    </row>
    <row r="57" spans="1:9" ht="20.25" customHeight="1">
      <c r="A57" s="83" t="s">
        <v>150</v>
      </c>
      <c r="B57" s="244"/>
      <c r="C57" s="269"/>
      <c r="D57" s="272"/>
      <c r="E57" s="272"/>
      <c r="F57" s="272"/>
      <c r="G57" s="272"/>
      <c r="H57" s="272"/>
      <c r="I57" s="271">
        <f t="shared" si="4"/>
        <v>0</v>
      </c>
    </row>
    <row r="58" spans="1:9" ht="20.25" customHeight="1">
      <c r="A58" s="83" t="s">
        <v>150</v>
      </c>
      <c r="B58" s="244"/>
      <c r="C58" s="269"/>
      <c r="D58" s="272"/>
      <c r="E58" s="272"/>
      <c r="F58" s="272"/>
      <c r="G58" s="272"/>
      <c r="H58" s="272"/>
      <c r="I58" s="271">
        <f t="shared" si="4"/>
        <v>0</v>
      </c>
    </row>
    <row r="59" spans="1:9" ht="20.25" customHeight="1">
      <c r="A59" s="83" t="s">
        <v>150</v>
      </c>
      <c r="B59" s="244"/>
      <c r="C59" s="269"/>
      <c r="D59" s="272"/>
      <c r="E59" s="272"/>
      <c r="F59" s="272"/>
      <c r="G59" s="272"/>
      <c r="H59" s="272"/>
      <c r="I59" s="271">
        <f t="shared" si="4"/>
        <v>0</v>
      </c>
    </row>
    <row r="60" spans="1:9" ht="20.25" customHeight="1">
      <c r="B60" s="119"/>
      <c r="C60" s="269"/>
      <c r="D60" s="270"/>
      <c r="E60" s="270"/>
      <c r="F60" s="270"/>
      <c r="G60" s="270"/>
      <c r="H60" s="270"/>
      <c r="I60" s="271"/>
    </row>
    <row r="61" spans="1:9" ht="20.25" customHeight="1">
      <c r="A61" s="83" t="s">
        <v>150</v>
      </c>
      <c r="B61" s="244"/>
      <c r="C61" s="269"/>
      <c r="D61" s="272"/>
      <c r="E61" s="272"/>
      <c r="F61" s="272"/>
      <c r="G61" s="272"/>
      <c r="H61" s="272"/>
      <c r="I61" s="271">
        <f t="shared" si="4"/>
        <v>0</v>
      </c>
    </row>
    <row r="62" spans="1:9" ht="20.25" customHeight="1">
      <c r="A62" s="83" t="s">
        <v>150</v>
      </c>
      <c r="B62" s="244"/>
      <c r="C62" s="269"/>
      <c r="D62" s="272"/>
      <c r="E62" s="272"/>
      <c r="F62" s="272"/>
      <c r="G62" s="272"/>
      <c r="H62" s="272"/>
      <c r="I62" s="271">
        <f t="shared" si="4"/>
        <v>0</v>
      </c>
    </row>
    <row r="63" spans="1:9" ht="20.25" customHeight="1">
      <c r="A63" s="83" t="s">
        <v>150</v>
      </c>
      <c r="B63" s="244"/>
      <c r="C63" s="269"/>
      <c r="D63" s="272"/>
      <c r="E63" s="272"/>
      <c r="F63" s="272"/>
      <c r="G63" s="272"/>
      <c r="H63" s="272"/>
      <c r="I63" s="271">
        <f t="shared" si="4"/>
        <v>0</v>
      </c>
    </row>
    <row r="64" spans="1:9" ht="20.25" customHeight="1">
      <c r="A64" s="83" t="s">
        <v>150</v>
      </c>
      <c r="B64" s="244"/>
      <c r="C64" s="269"/>
      <c r="D64" s="272"/>
      <c r="E64" s="272"/>
      <c r="F64" s="272"/>
      <c r="G64" s="272"/>
      <c r="H64" s="272"/>
      <c r="I64" s="271">
        <f t="shared" si="4"/>
        <v>0</v>
      </c>
    </row>
    <row r="65" spans="2:10">
      <c r="B65" s="273" t="s">
        <v>71</v>
      </c>
      <c r="C65" s="274"/>
      <c r="D65" s="275">
        <f>SUM($D45:$D64)</f>
        <v>0</v>
      </c>
      <c r="E65" s="275">
        <f>SUM(E45:E64)</f>
        <v>0</v>
      </c>
      <c r="F65" s="275">
        <f>SUM(F45:F64)</f>
        <v>0</v>
      </c>
      <c r="G65" s="275">
        <f>SUM(G45:G64)</f>
        <v>0</v>
      </c>
      <c r="H65" s="275">
        <f>SUM(H45:H64)</f>
        <v>0</v>
      </c>
      <c r="I65" s="276">
        <f>SUM(D65:H65)</f>
        <v>0</v>
      </c>
    </row>
    <row r="66" spans="2:10">
      <c r="B66" s="30" t="s">
        <v>99</v>
      </c>
    </row>
    <row r="67" spans="2:10">
      <c r="B67" s="277" t="s">
        <v>153</v>
      </c>
      <c r="C67" s="361" t="s">
        <v>117</v>
      </c>
      <c r="D67" s="362"/>
      <c r="E67" s="363"/>
      <c r="F67" s="102"/>
      <c r="G67" s="102"/>
      <c r="H67" s="102"/>
      <c r="I67" s="102"/>
    </row>
    <row r="68" spans="2:10" ht="15" customHeight="1">
      <c r="B68" s="124" t="s">
        <v>154</v>
      </c>
      <c r="C68" s="278" t="s">
        <v>64</v>
      </c>
      <c r="D68" s="278" t="s">
        <v>65</v>
      </c>
      <c r="E68" s="278" t="s">
        <v>66</v>
      </c>
      <c r="F68" s="278" t="s">
        <v>151</v>
      </c>
      <c r="G68" s="278" t="s">
        <v>152</v>
      </c>
      <c r="H68" s="350" t="s">
        <v>102</v>
      </c>
      <c r="I68" s="351"/>
    </row>
    <row r="69" spans="2:10" ht="20.25" customHeight="1">
      <c r="B69" s="279" t="s">
        <v>155</v>
      </c>
      <c r="C69" s="280">
        <f>$F28</f>
        <v>0</v>
      </c>
      <c r="D69" s="280">
        <f>$H28</f>
        <v>0</v>
      </c>
      <c r="E69" s="280">
        <f>$J28</f>
        <v>0</v>
      </c>
      <c r="F69" s="280">
        <f>$L28</f>
        <v>0</v>
      </c>
      <c r="G69" s="280">
        <f>$N28</f>
        <v>0</v>
      </c>
      <c r="H69" s="352">
        <f>SUM(C$69:G$69)</f>
        <v>0</v>
      </c>
      <c r="I69" s="353"/>
    </row>
    <row r="70" spans="2:10" ht="20.25" customHeight="1">
      <c r="B70" s="279" t="s">
        <v>156</v>
      </c>
      <c r="C70" s="280">
        <f>$D65</f>
        <v>0</v>
      </c>
      <c r="D70" s="280">
        <f>$E65</f>
        <v>0</v>
      </c>
      <c r="E70" s="280">
        <f>$F65</f>
        <v>0</v>
      </c>
      <c r="F70" s="280">
        <f>$G65</f>
        <v>0</v>
      </c>
      <c r="G70" s="280">
        <f>$H65</f>
        <v>0</v>
      </c>
      <c r="H70" s="352">
        <f>SUM(C$70:G$70)</f>
        <v>0</v>
      </c>
      <c r="I70" s="353"/>
    </row>
    <row r="71" spans="2:10" ht="15" customHeight="1">
      <c r="B71" s="281" t="s">
        <v>71</v>
      </c>
      <c r="C71" s="280">
        <f>SUM($C69:$C70)</f>
        <v>0</v>
      </c>
      <c r="D71" s="280">
        <f>SUM($D69:$D70)</f>
        <v>0</v>
      </c>
      <c r="E71" s="280">
        <f>SUM($E69:$E70)</f>
        <v>0</v>
      </c>
      <c r="F71" s="280">
        <f>SUM($F69:$F70)</f>
        <v>0</v>
      </c>
      <c r="G71" s="280">
        <f>SUM($G69:$G70)</f>
        <v>0</v>
      </c>
      <c r="H71" s="352">
        <f>SUM(H$69:H$70)</f>
        <v>0</v>
      </c>
      <c r="I71" s="353"/>
    </row>
    <row r="73" spans="2:10">
      <c r="B73" s="169" t="s">
        <v>138</v>
      </c>
    </row>
    <row r="75" spans="2:10">
      <c r="B75" s="282" t="s">
        <v>74</v>
      </c>
      <c r="C75" s="283" t="s">
        <v>117</v>
      </c>
      <c r="D75" s="284"/>
      <c r="E75" s="285"/>
      <c r="F75" s="285"/>
      <c r="G75" s="347"/>
      <c r="H75" s="348"/>
      <c r="I75" s="349"/>
    </row>
    <row r="76" spans="2:10">
      <c r="B76" s="278" t="s">
        <v>64</v>
      </c>
      <c r="C76" s="278" t="s">
        <v>65</v>
      </c>
      <c r="D76" s="278" t="s">
        <v>66</v>
      </c>
      <c r="E76" s="278" t="s">
        <v>151</v>
      </c>
      <c r="F76" s="104" t="s">
        <v>152</v>
      </c>
      <c r="G76" s="343" t="s">
        <v>157</v>
      </c>
      <c r="H76" s="343"/>
      <c r="I76" s="364"/>
      <c r="J76" s="19"/>
    </row>
    <row r="77" spans="2:10">
      <c r="B77" s="286">
        <f>IF('Cash Budget - Projects'!$C48&gt;0,("1:"&amp; ROUND($C71/'Cash Budget - Projects'!$C48,2)),0)</f>
        <v>0</v>
      </c>
      <c r="C77" s="286">
        <f>IF('Cash Budget - Projects'!$D48&gt;0,("1:"&amp; ROUND($D71/'Cash Budget - Projects'!$D48,2)),0)</f>
        <v>0</v>
      </c>
      <c r="D77" s="286">
        <f>IF('Cash Budget - Projects'!$E48&gt;0,("1:"&amp; ROUND($E71/'Cash Budget - Projects'!$E48,2)),0)</f>
        <v>0</v>
      </c>
      <c r="E77" s="286">
        <f>IF('Cash Budget - Projects'!$F48&gt;0,("1:"&amp; ROUND($F71/'Cash Budget - Projects'!$F48,2)),0)</f>
        <v>0</v>
      </c>
      <c r="F77" s="286">
        <f>IF('Cash Budget - Projects'!G48&gt;0,("1:"&amp; ROUND(G71/'Cash Budget - Projects'!G48,2)),0)</f>
        <v>0</v>
      </c>
      <c r="G77" s="344">
        <f>IF('Cash Budget - Projects'!H48&gt;0,("1:"&amp; ROUND(H71/'Cash Budget - Projects'!H48,2)),0)</f>
        <v>0</v>
      </c>
      <c r="H77" s="345"/>
      <c r="I77" s="346"/>
    </row>
    <row r="79" spans="2:10" ht="14.25" customHeight="1"/>
    <row r="83" spans="1:5">
      <c r="C83" s="18"/>
    </row>
    <row r="84" spans="1:5" s="6" customFormat="1">
      <c r="A84" s="83"/>
      <c r="B84" s="5"/>
      <c r="C84" s="5"/>
      <c r="D84" s="5"/>
      <c r="E84" s="5"/>
    </row>
    <row r="89" spans="1:5">
      <c r="B89" s="8"/>
    </row>
    <row r="90" spans="1:5">
      <c r="B90" s="8"/>
    </row>
    <row r="91" spans="1:5">
      <c r="B91" s="8"/>
    </row>
  </sheetData>
  <sheetProtection deleteRows="0"/>
  <mergeCells count="20">
    <mergeCell ref="G76:I76"/>
    <mergeCell ref="G77:I77"/>
    <mergeCell ref="G75:I75"/>
    <mergeCell ref="H68:I68"/>
    <mergeCell ref="H69:I69"/>
    <mergeCell ref="H70:I70"/>
    <mergeCell ref="H71:I71"/>
    <mergeCell ref="E11:F12"/>
    <mergeCell ref="O11:P12"/>
    <mergeCell ref="M11:N12"/>
    <mergeCell ref="K11:L12"/>
    <mergeCell ref="I11:J12"/>
    <mergeCell ref="G11:H12"/>
    <mergeCell ref="D33:D34"/>
    <mergeCell ref="F33:F34"/>
    <mergeCell ref="E33:E34"/>
    <mergeCell ref="G33:G34"/>
    <mergeCell ref="N33:O34"/>
    <mergeCell ref="H33:H34"/>
    <mergeCell ref="I33:I35"/>
  </mergeCells>
  <phoneticPr fontId="2" type="noConversion"/>
  <conditionalFormatting sqref="B77:G77">
    <cfRule type="expression" dxfId="106" priority="38">
      <formula>B80="Not greater than 2"</formula>
    </cfRule>
    <cfRule type="expression" dxfId="105" priority="43">
      <formula>B80="Greater than 2"</formula>
    </cfRule>
  </conditionalFormatting>
  <pageMargins left="0.7" right="0.7" top="0.75" bottom="0.75" header="0.3" footer="0.3"/>
  <pageSetup paperSize="9"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404E6-5C86-4787-B9AA-2A102C14CAFF}">
  <sheetPr codeName="Sheet8"/>
  <dimension ref="A1"/>
  <sheetViews>
    <sheetView workbookViewId="0">
      <selection activeCell="B37" sqref="B37"/>
    </sheetView>
  </sheetViews>
  <sheetFormatPr defaultColWidth="8.85546875" defaultRowHeight="14.45"/>
  <cols>
    <col min="1" max="1" width="27.85546875" customWidth="1"/>
    <col min="2" max="6" width="9.85546875" bestFit="1" customWidth="1"/>
    <col min="7" max="7" width="10.140625" bestFit="1" customWidth="1"/>
  </cols>
  <sheetData/>
  <sheetProtection algorithmName="SHA-512" hashValue="rR0UQoLY79PUQ/1hDG0rkRxuNKjY4vonvOxHpv0ijZGKlrJUn4k3d0Ec+CCUfJXx8gOsizPGo8VaRp/NLm8t+g==" saltValue="cbhtB7iLr7GGpn69d/WUIw=="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AE457-A733-4841-B44A-FE4E1DB70535}">
  <sheetPr codeName="Sheet7"/>
  <dimension ref="A1:G19"/>
  <sheetViews>
    <sheetView showGridLines="0" zoomScale="70" zoomScaleNormal="70" workbookViewId="0">
      <selection activeCell="K43" sqref="K43"/>
    </sheetView>
  </sheetViews>
  <sheetFormatPr defaultColWidth="15.42578125" defaultRowHeight="14.45"/>
  <cols>
    <col min="1" max="1" width="27.85546875" customWidth="1"/>
    <col min="2" max="2" width="25" customWidth="1"/>
  </cols>
  <sheetData>
    <row r="1" spans="1:7">
      <c r="A1" s="75" t="s">
        <v>158</v>
      </c>
      <c r="B1" s="75" t="s">
        <v>159</v>
      </c>
      <c r="C1" s="75" t="s">
        <v>160</v>
      </c>
      <c r="D1" s="75" t="s">
        <v>161</v>
      </c>
      <c r="E1" s="75" t="s">
        <v>162</v>
      </c>
      <c r="F1" s="75" t="s">
        <v>163</v>
      </c>
      <c r="G1" s="75" t="s">
        <v>102</v>
      </c>
    </row>
    <row r="2" spans="1:7">
      <c r="A2" s="76" t="s">
        <v>164</v>
      </c>
      <c r="B2" s="77">
        <v>250000</v>
      </c>
      <c r="C2" s="77">
        <v>250000</v>
      </c>
      <c r="D2" s="77">
        <v>250000</v>
      </c>
      <c r="E2" s="77">
        <v>250000</v>
      </c>
      <c r="F2" s="77">
        <v>300000</v>
      </c>
      <c r="G2" s="77">
        <v>1300000</v>
      </c>
    </row>
    <row r="3" spans="1:7">
      <c r="A3" s="76" t="s">
        <v>165</v>
      </c>
      <c r="B3" s="77">
        <v>250000</v>
      </c>
      <c r="C3" s="77">
        <v>250000</v>
      </c>
      <c r="D3" s="77">
        <v>250000</v>
      </c>
      <c r="E3" s="77">
        <v>500000</v>
      </c>
      <c r="F3" s="13"/>
      <c r="G3" s="77">
        <v>1250000</v>
      </c>
    </row>
    <row r="4" spans="1:7">
      <c r="A4" s="76" t="s">
        <v>166</v>
      </c>
      <c r="B4" s="77">
        <v>350000</v>
      </c>
      <c r="C4" s="77">
        <v>250000</v>
      </c>
      <c r="D4" s="77">
        <v>66000</v>
      </c>
      <c r="E4" s="77">
        <v>33000</v>
      </c>
      <c r="F4" s="13"/>
      <c r="G4" s="77">
        <v>699000</v>
      </c>
    </row>
    <row r="5" spans="1:7">
      <c r="A5" s="76" t="s">
        <v>167</v>
      </c>
      <c r="B5" s="77">
        <v>200000</v>
      </c>
      <c r="C5" s="77">
        <v>500000</v>
      </c>
      <c r="D5" s="77">
        <v>117000</v>
      </c>
      <c r="E5" s="77">
        <v>123000</v>
      </c>
      <c r="F5" s="77">
        <v>150000</v>
      </c>
      <c r="G5" s="77">
        <v>1090000</v>
      </c>
    </row>
    <row r="6" spans="1:7">
      <c r="A6" s="76" t="s">
        <v>168</v>
      </c>
      <c r="B6" s="77">
        <v>414794</v>
      </c>
      <c r="C6" s="77">
        <v>436891</v>
      </c>
      <c r="D6" s="77">
        <v>651898</v>
      </c>
      <c r="E6" s="77">
        <v>88344</v>
      </c>
      <c r="F6" s="77">
        <v>0</v>
      </c>
      <c r="G6" s="77">
        <v>1591927</v>
      </c>
    </row>
    <row r="7" spans="1:7">
      <c r="A7" s="81" t="s">
        <v>71</v>
      </c>
      <c r="B7" s="89">
        <f>SUM($B$2:$B$6)</f>
        <v>1464794</v>
      </c>
      <c r="C7" s="89">
        <f>SUM($C$2:$C$6)</f>
        <v>1686891</v>
      </c>
      <c r="D7" s="89">
        <f>SUM($D$2:$D$6)</f>
        <v>1334898</v>
      </c>
      <c r="E7" s="89">
        <f>SUM($E$2:$E$6)</f>
        <v>994344</v>
      </c>
      <c r="F7" s="89">
        <f>SUM($F$2:$F$6)</f>
        <v>450000</v>
      </c>
      <c r="G7" s="89">
        <f>SUM($G$2:$G$6)</f>
        <v>5930927</v>
      </c>
    </row>
    <row r="8" spans="1:7">
      <c r="A8" s="76" t="s">
        <v>169</v>
      </c>
      <c r="B8" s="78"/>
      <c r="C8" s="78"/>
      <c r="D8" s="78"/>
      <c r="E8" s="78"/>
      <c r="F8" s="78"/>
      <c r="G8" s="79"/>
    </row>
    <row r="9" spans="1:7">
      <c r="A9" s="80" t="s">
        <v>170</v>
      </c>
      <c r="B9" s="13"/>
      <c r="C9" s="13"/>
      <c r="D9" s="13"/>
      <c r="E9" s="13"/>
      <c r="F9" s="13"/>
      <c r="G9" s="287"/>
    </row>
    <row r="10" spans="1:7">
      <c r="A10" s="76" t="s">
        <v>171</v>
      </c>
      <c r="B10" s="78"/>
      <c r="C10" s="78"/>
      <c r="D10" s="78"/>
      <c r="E10" s="78"/>
      <c r="F10" s="78"/>
      <c r="G10" s="79"/>
    </row>
    <row r="12" spans="1:7">
      <c r="A12" s="88" t="s">
        <v>172</v>
      </c>
      <c r="B12" s="88" t="s">
        <v>159</v>
      </c>
      <c r="C12" s="88" t="s">
        <v>160</v>
      </c>
      <c r="D12" s="88" t="s">
        <v>161</v>
      </c>
      <c r="E12" s="88" t="s">
        <v>162</v>
      </c>
      <c r="F12" s="88" t="s">
        <v>163</v>
      </c>
      <c r="G12" s="88" t="s">
        <v>102</v>
      </c>
    </row>
    <row r="13" spans="1:7">
      <c r="A13" s="76" t="s">
        <v>173</v>
      </c>
      <c r="B13" s="76">
        <v>213200</v>
      </c>
      <c r="C13" s="76">
        <v>218530</v>
      </c>
      <c r="D13" s="76">
        <v>223994</v>
      </c>
      <c r="E13" s="76">
        <v>229593</v>
      </c>
      <c r="F13" s="76">
        <v>235333</v>
      </c>
      <c r="G13" s="76">
        <v>1120650</v>
      </c>
    </row>
    <row r="14" spans="1:7">
      <c r="A14" s="76" t="s">
        <v>174</v>
      </c>
      <c r="B14" s="76">
        <v>146575</v>
      </c>
      <c r="C14" s="76">
        <v>150240</v>
      </c>
      <c r="D14" s="76">
        <v>153995</v>
      </c>
      <c r="E14" s="76">
        <v>157845</v>
      </c>
      <c r="F14" s="76">
        <v>161792</v>
      </c>
      <c r="G14" s="76">
        <v>770447</v>
      </c>
    </row>
    <row r="15" spans="1:7">
      <c r="A15" s="76" t="s">
        <v>175</v>
      </c>
      <c r="B15" s="76">
        <v>100000</v>
      </c>
      <c r="C15" s="76">
        <v>800000</v>
      </c>
      <c r="D15" s="76">
        <v>800000</v>
      </c>
      <c r="E15" s="76">
        <v>800000</v>
      </c>
      <c r="F15" s="76">
        <v>800000</v>
      </c>
      <c r="G15" s="76">
        <v>3300000</v>
      </c>
    </row>
    <row r="16" spans="1:7">
      <c r="A16" s="76" t="s">
        <v>176</v>
      </c>
      <c r="B16" s="76">
        <v>100000</v>
      </c>
      <c r="C16" s="76">
        <v>400000</v>
      </c>
      <c r="D16" s="76">
        <v>400000</v>
      </c>
      <c r="E16" s="76">
        <v>100000</v>
      </c>
      <c r="F16" s="76">
        <v>400000</v>
      </c>
      <c r="G16" s="76">
        <v>1400000</v>
      </c>
    </row>
    <row r="17" spans="1:7">
      <c r="A17" s="81" t="s">
        <v>71</v>
      </c>
      <c r="B17" s="81">
        <v>559775</v>
      </c>
      <c r="C17" s="81">
        <v>1568770</v>
      </c>
      <c r="D17" s="81">
        <v>1577989</v>
      </c>
      <c r="E17" s="81">
        <v>1287438</v>
      </c>
      <c r="F17" s="81">
        <v>1597125</v>
      </c>
      <c r="G17" s="81">
        <v>6591097</v>
      </c>
    </row>
    <row r="18" spans="1:7">
      <c r="A18" s="76" t="s">
        <v>177</v>
      </c>
      <c r="B18" s="76"/>
      <c r="C18" s="76"/>
      <c r="D18" s="76"/>
      <c r="E18" s="76"/>
      <c r="F18" s="76"/>
      <c r="G18" s="76"/>
    </row>
    <row r="19" spans="1:7">
      <c r="A19" s="76" t="s">
        <v>178</v>
      </c>
      <c r="B19" s="76"/>
      <c r="C19" s="76"/>
      <c r="D19" s="76"/>
      <c r="E19" s="76"/>
      <c r="F19" s="76"/>
      <c r="G19" s="76"/>
    </row>
  </sheetData>
  <sheetProtection algorithmName="SHA-512" hashValue="udQJQA/iXfLrRSFyGCiwqUh6gJcTvi4pZJ5/wuWg4x2MmNcOInyzWsYGXsA2SefYDTellVjs2xoBKxEniV4DOg==" saltValue="HOVtfrzjKsqaEbVYlBCotA==" spinCount="100000" sheet="1" objects="1" scenarios="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BD1F3-28D0-42D1-9B0C-57E31F0717BC}">
  <sheetPr codeName="Sheet3"/>
  <dimension ref="A1:CF46"/>
  <sheetViews>
    <sheetView topLeftCell="B5" zoomScale="85" zoomScaleNormal="85" workbookViewId="0">
      <selection activeCell="K43" sqref="K43"/>
    </sheetView>
  </sheetViews>
  <sheetFormatPr defaultColWidth="8.85546875" defaultRowHeight="14.45"/>
  <cols>
    <col min="1" max="1" width="26.42578125" bestFit="1" customWidth="1"/>
    <col min="2" max="2" width="28.42578125" bestFit="1" customWidth="1"/>
    <col min="3" max="3" width="34.42578125" bestFit="1" customWidth="1"/>
    <col min="4" max="4" width="28" bestFit="1" customWidth="1"/>
    <col min="5" max="5" width="29.42578125" bestFit="1" customWidth="1"/>
    <col min="6" max="6" width="31.140625" bestFit="1" customWidth="1"/>
    <col min="8" max="8" width="16.42578125" bestFit="1" customWidth="1"/>
    <col min="10" max="10" width="24.42578125" bestFit="1" customWidth="1"/>
    <col min="11" max="11" width="33.42578125" bestFit="1" customWidth="1"/>
    <col min="12" max="13" width="19.85546875" customWidth="1"/>
    <col min="15" max="15" width="33.42578125" bestFit="1" customWidth="1"/>
    <col min="16" max="18" width="13.42578125" customWidth="1"/>
    <col min="19" max="19" width="12.42578125" customWidth="1"/>
    <col min="20" max="22" width="12.42578125" bestFit="1" customWidth="1"/>
    <col min="23" max="23" width="13.42578125" customWidth="1"/>
    <col min="24" max="24" width="12.42578125" customWidth="1"/>
    <col min="25" max="28" width="12.42578125" bestFit="1" customWidth="1"/>
    <col min="30" max="30" width="15.42578125" customWidth="1"/>
    <col min="31" max="31" width="40.42578125" customWidth="1"/>
    <col min="32" max="34" width="15.42578125" customWidth="1"/>
    <col min="35" max="46" width="10.42578125" customWidth="1"/>
    <col min="49" max="49" width="12.42578125" bestFit="1" customWidth="1"/>
    <col min="50" max="50" width="14.42578125" customWidth="1"/>
    <col min="51" max="51" width="21" customWidth="1"/>
    <col min="52" max="52" width="16.42578125" bestFit="1" customWidth="1"/>
    <col min="53" max="53" width="34.42578125" bestFit="1" customWidth="1"/>
    <col min="54" max="54" width="16.42578125" customWidth="1"/>
    <col min="68" max="68" width="24.42578125" customWidth="1"/>
    <col min="69" max="69" width="13.85546875" customWidth="1"/>
    <col min="70" max="70" width="14" customWidth="1"/>
    <col min="84" max="84" width="41.85546875" customWidth="1"/>
  </cols>
  <sheetData>
    <row r="1" spans="1:84" ht="41.65" customHeight="1">
      <c r="S1" s="11" t="s">
        <v>179</v>
      </c>
      <c r="T1" s="10">
        <v>2.5000000000000001E-2</v>
      </c>
      <c r="X1" s="12" t="s">
        <v>180</v>
      </c>
      <c r="Y1" s="10">
        <v>0.3</v>
      </c>
      <c r="AJ1" s="11" t="s">
        <v>179</v>
      </c>
      <c r="AK1" s="10">
        <v>2.5000000000000001E-2</v>
      </c>
      <c r="AP1" s="12" t="s">
        <v>180</v>
      </c>
      <c r="AQ1" s="10">
        <v>0.3</v>
      </c>
      <c r="BC1" s="11" t="s">
        <v>179</v>
      </c>
      <c r="BD1" s="10">
        <v>2.5000000000000001E-2</v>
      </c>
      <c r="BI1" s="12" t="s">
        <v>180</v>
      </c>
      <c r="BJ1" s="10">
        <v>0.3</v>
      </c>
      <c r="BS1" s="11" t="s">
        <v>179</v>
      </c>
      <c r="BT1" s="10">
        <v>2.5000000000000001E-2</v>
      </c>
      <c r="BY1" s="12" t="s">
        <v>180</v>
      </c>
      <c r="BZ1" s="10">
        <v>0.3</v>
      </c>
      <c r="CF1" t="s">
        <v>181</v>
      </c>
    </row>
    <row r="2" spans="1:84" ht="68.25" customHeight="1">
      <c r="S2" s="11" t="s">
        <v>182</v>
      </c>
      <c r="T2" s="11" t="s">
        <v>183</v>
      </c>
      <c r="U2" s="11" t="s">
        <v>184</v>
      </c>
      <c r="V2" s="11" t="s">
        <v>185</v>
      </c>
      <c r="W2" s="11" t="s">
        <v>186</v>
      </c>
      <c r="X2" s="11" t="s">
        <v>182</v>
      </c>
      <c r="Y2" s="11" t="s">
        <v>183</v>
      </c>
      <c r="Z2" s="11" t="s">
        <v>184</v>
      </c>
      <c r="AA2" s="11" t="s">
        <v>185</v>
      </c>
      <c r="AB2" s="11" t="s">
        <v>187</v>
      </c>
      <c r="AD2" s="11" t="s">
        <v>188</v>
      </c>
      <c r="AE2" s="11" t="s">
        <v>189</v>
      </c>
      <c r="AJ2" s="11" t="s">
        <v>186</v>
      </c>
      <c r="AK2" s="11" t="s">
        <v>182</v>
      </c>
      <c r="AL2" s="11" t="s">
        <v>183</v>
      </c>
      <c r="AM2" s="11" t="s">
        <v>184</v>
      </c>
      <c r="AN2" s="11" t="s">
        <v>185</v>
      </c>
      <c r="AO2" s="11" t="s">
        <v>187</v>
      </c>
      <c r="AP2" s="11" t="s">
        <v>186</v>
      </c>
      <c r="AQ2" s="11" t="s">
        <v>182</v>
      </c>
      <c r="AR2" s="11" t="s">
        <v>183</v>
      </c>
      <c r="AS2" s="11" t="s">
        <v>184</v>
      </c>
      <c r="AT2" s="11" t="s">
        <v>185</v>
      </c>
      <c r="AU2" s="11" t="s">
        <v>187</v>
      </c>
      <c r="AW2" s="11" t="s">
        <v>188</v>
      </c>
      <c r="AX2" s="11" t="s">
        <v>189</v>
      </c>
      <c r="BC2" s="11" t="s">
        <v>186</v>
      </c>
      <c r="BD2" s="11" t="s">
        <v>182</v>
      </c>
      <c r="BE2" s="11" t="s">
        <v>183</v>
      </c>
      <c r="BF2" s="11" t="s">
        <v>184</v>
      </c>
      <c r="BG2" s="11" t="s">
        <v>185</v>
      </c>
      <c r="BH2" s="11" t="s">
        <v>187</v>
      </c>
      <c r="BI2" s="11" t="s">
        <v>186</v>
      </c>
      <c r="BJ2" s="11" t="s">
        <v>182</v>
      </c>
      <c r="BK2" s="11" t="s">
        <v>183</v>
      </c>
      <c r="BL2" s="11" t="s">
        <v>184</v>
      </c>
      <c r="BM2" s="11" t="s">
        <v>185</v>
      </c>
      <c r="BN2" s="11" t="s">
        <v>187</v>
      </c>
      <c r="BP2" s="11" t="s">
        <v>190</v>
      </c>
      <c r="BQ2" s="11" t="s">
        <v>189</v>
      </c>
      <c r="BS2" s="11" t="s">
        <v>186</v>
      </c>
      <c r="BT2" s="11" t="s">
        <v>182</v>
      </c>
      <c r="BU2" s="11" t="s">
        <v>183</v>
      </c>
      <c r="BV2" s="11" t="s">
        <v>184</v>
      </c>
      <c r="BW2" s="11" t="s">
        <v>185</v>
      </c>
      <c r="BX2" s="11" t="s">
        <v>187</v>
      </c>
      <c r="BY2" s="11" t="s">
        <v>186</v>
      </c>
      <c r="BZ2" s="11" t="s">
        <v>182</v>
      </c>
      <c r="CA2" s="11" t="s">
        <v>183</v>
      </c>
      <c r="CB2" s="11" t="s">
        <v>184</v>
      </c>
      <c r="CC2" s="11" t="s">
        <v>185</v>
      </c>
      <c r="CD2" s="11" t="s">
        <v>187</v>
      </c>
      <c r="CF2" s="11" t="s">
        <v>191</v>
      </c>
    </row>
    <row r="3" spans="1:84" ht="54" customHeight="1">
      <c r="A3" t="s">
        <v>192</v>
      </c>
      <c r="B3" t="s">
        <v>193</v>
      </c>
      <c r="C3" t="s">
        <v>194</v>
      </c>
      <c r="D3" t="s">
        <v>195</v>
      </c>
      <c r="E3" t="s">
        <v>196</v>
      </c>
      <c r="F3" t="s">
        <v>197</v>
      </c>
      <c r="H3" t="s">
        <v>198</v>
      </c>
      <c r="J3" s="3" t="s">
        <v>199</v>
      </c>
      <c r="K3" s="3" t="s">
        <v>200</v>
      </c>
      <c r="L3" s="3" t="s">
        <v>201</v>
      </c>
      <c r="M3" s="28" t="s">
        <v>202</v>
      </c>
      <c r="O3" s="3" t="s">
        <v>203</v>
      </c>
      <c r="P3" s="3" t="s">
        <v>204</v>
      </c>
      <c r="Q3" s="3" t="s">
        <v>205</v>
      </c>
      <c r="R3" s="3" t="s">
        <v>206</v>
      </c>
      <c r="S3" s="3" t="s">
        <v>207</v>
      </c>
      <c r="T3" s="3" t="s">
        <v>208</v>
      </c>
      <c r="U3" s="3" t="s">
        <v>209</v>
      </c>
      <c r="V3" s="3" t="s">
        <v>210</v>
      </c>
      <c r="W3" s="3" t="s">
        <v>211</v>
      </c>
      <c r="X3" s="3" t="s">
        <v>212</v>
      </c>
      <c r="Y3" s="3" t="s">
        <v>213</v>
      </c>
      <c r="Z3" s="3" t="s">
        <v>214</v>
      </c>
      <c r="AA3" s="3" t="s">
        <v>215</v>
      </c>
      <c r="AB3" s="3" t="s">
        <v>216</v>
      </c>
      <c r="AD3" s="14" t="s">
        <v>80</v>
      </c>
      <c r="AE3" s="14" t="s">
        <v>81</v>
      </c>
      <c r="AF3" s="14" t="s">
        <v>82</v>
      </c>
      <c r="AG3" s="14" t="s">
        <v>198</v>
      </c>
      <c r="AH3" s="14" t="s">
        <v>217</v>
      </c>
      <c r="AI3" s="14" t="s">
        <v>218</v>
      </c>
      <c r="AJ3" s="14" t="s">
        <v>207</v>
      </c>
      <c r="AK3" s="14" t="s">
        <v>208</v>
      </c>
      <c r="AL3" s="14" t="s">
        <v>209</v>
      </c>
      <c r="AM3" s="14" t="s">
        <v>210</v>
      </c>
      <c r="AN3" s="14" t="s">
        <v>211</v>
      </c>
      <c r="AO3" s="14" t="s">
        <v>219</v>
      </c>
      <c r="AP3" s="14" t="s">
        <v>212</v>
      </c>
      <c r="AQ3" s="14" t="s">
        <v>213</v>
      </c>
      <c r="AR3" s="14" t="s">
        <v>214</v>
      </c>
      <c r="AS3" s="14" t="s">
        <v>215</v>
      </c>
      <c r="AT3" s="14" t="s">
        <v>216</v>
      </c>
      <c r="AU3" s="15" t="s">
        <v>220</v>
      </c>
      <c r="AW3" s="14" t="s">
        <v>80</v>
      </c>
      <c r="AX3" s="14" t="s">
        <v>81</v>
      </c>
      <c r="AY3" s="14" t="s">
        <v>82</v>
      </c>
      <c r="AZ3" s="14" t="s">
        <v>198</v>
      </c>
      <c r="BA3" s="14" t="s">
        <v>217</v>
      </c>
      <c r="BB3" s="14" t="s">
        <v>218</v>
      </c>
      <c r="BC3" s="14" t="s">
        <v>207</v>
      </c>
      <c r="BD3" s="14" t="s">
        <v>208</v>
      </c>
      <c r="BE3" s="14" t="s">
        <v>209</v>
      </c>
      <c r="BF3" s="14" t="s">
        <v>210</v>
      </c>
      <c r="BG3" s="14" t="s">
        <v>211</v>
      </c>
      <c r="BH3" s="14" t="s">
        <v>219</v>
      </c>
      <c r="BI3" s="14" t="s">
        <v>212</v>
      </c>
      <c r="BJ3" s="14" t="s">
        <v>213</v>
      </c>
      <c r="BK3" s="14" t="s">
        <v>214</v>
      </c>
      <c r="BL3" s="14" t="s">
        <v>215</v>
      </c>
      <c r="BM3" s="14" t="s">
        <v>216</v>
      </c>
      <c r="BN3" s="15" t="s">
        <v>220</v>
      </c>
      <c r="BP3" s="14" t="s">
        <v>148</v>
      </c>
      <c r="BQ3" s="14" t="s">
        <v>81</v>
      </c>
      <c r="BR3" s="14" t="s">
        <v>221</v>
      </c>
      <c r="BS3" s="14" t="s">
        <v>207</v>
      </c>
      <c r="BT3" s="14" t="s">
        <v>208</v>
      </c>
      <c r="BU3" s="14" t="s">
        <v>209</v>
      </c>
      <c r="BV3" s="14" t="s">
        <v>210</v>
      </c>
      <c r="BW3" s="14" t="s">
        <v>211</v>
      </c>
      <c r="BX3" s="14" t="s">
        <v>219</v>
      </c>
      <c r="BY3" s="14" t="s">
        <v>212</v>
      </c>
      <c r="BZ3" s="14" t="s">
        <v>213</v>
      </c>
      <c r="CA3" s="14" t="s">
        <v>214</v>
      </c>
      <c r="CB3" s="14" t="s">
        <v>215</v>
      </c>
      <c r="CC3" s="14" t="s">
        <v>216</v>
      </c>
      <c r="CD3" s="15" t="s">
        <v>220</v>
      </c>
      <c r="CF3" t="s">
        <v>222</v>
      </c>
    </row>
    <row r="4" spans="1:84">
      <c r="A4" t="s">
        <v>223</v>
      </c>
      <c r="B4" s="1">
        <v>77390</v>
      </c>
      <c r="C4" t="s">
        <v>224</v>
      </c>
      <c r="D4" s="1">
        <v>77390</v>
      </c>
      <c r="E4" t="s">
        <v>225</v>
      </c>
      <c r="F4" s="1">
        <v>54742</v>
      </c>
      <c r="H4" t="s">
        <v>199</v>
      </c>
      <c r="J4" t="s">
        <v>226</v>
      </c>
      <c r="K4" t="s">
        <v>227</v>
      </c>
      <c r="L4" t="s">
        <v>228</v>
      </c>
      <c r="M4" t="s">
        <v>229</v>
      </c>
      <c r="O4" t="s">
        <v>226</v>
      </c>
      <c r="P4" s="4">
        <f>Table3[[#This Row],[Academic Staff Annual Salary]]-(Table3[[#This Row],[Academic Staff Annual Salary]]*0.1)</f>
        <v>69651</v>
      </c>
      <c r="Q4" s="4">
        <f>Staff_min_max[[#This Row],[Min (-10%)]]+(3*((Staff_min_max[[#This Row],[Max (+ 10%)]]-Staff_min_max[[#This Row],[Min (-10%)]])/4))</f>
        <v>103038.67499999999</v>
      </c>
      <c r="R4" s="4">
        <f>$B$11+($B$11*0.1)</f>
        <v>114167.9</v>
      </c>
      <c r="S4" s="2">
        <f>Staff_min_max[[#This Row],[Max (+ 10%)]]</f>
        <v>114167.9</v>
      </c>
      <c r="T4" s="9">
        <f>ROUND((Staff_min_max[[#This Row],[Max (+ 10%)]]*(1+$T$1)^1),0)</f>
        <v>117022</v>
      </c>
      <c r="U4" s="9">
        <f>ROUND((Staff_min_max[[#This Row],[Year 1 (No Pay Rise)]]*(1+$T$1)^2),0)</f>
        <v>119948</v>
      </c>
      <c r="V4" s="9">
        <f>ROUND((Staff_min_max[[#This Row],[Year 1 (No Pay Rise)]]*(1+$T$1)^3),0)</f>
        <v>122946</v>
      </c>
      <c r="W4" s="9">
        <f>ROUND((Staff_min_max[[#This Row],[Year 1 (No Pay Rise)]]*(1+$T$1)^4),0)</f>
        <v>126020</v>
      </c>
      <c r="X4" s="9">
        <f>ROUND(SUM(Staff_min_max[[#This Row],[Year 1 (No Pay Rise)]]*(1+$Y$1)),0)</f>
        <v>148418</v>
      </c>
      <c r="Y4" s="9">
        <f>ROUND(SUM(Staff_min_max[[#This Row],[With Pay Rise Year 2]]*(1+$Y$1)),0)</f>
        <v>152129</v>
      </c>
      <c r="Z4" s="9">
        <f>ROUND(SUM(Staff_min_max[[#This Row],[With Pay Rise Year 3]]*(1+$Y$1)),0)</f>
        <v>155932</v>
      </c>
      <c r="AA4" s="9">
        <f>ROUND(SUM(Staff_min_max[[#This Row],[With Pay Rise Year 4]]*(1+$Y$1)),0)</f>
        <v>159830</v>
      </c>
      <c r="AB4" s="9">
        <f>ROUND(SUM(Staff_min_max[[#This Row],[With Pay Rise Year 5]]*(1+$Y$1)),0)</f>
        <v>163826</v>
      </c>
      <c r="AD4" t="e">
        <f>'Cash Budget - Projects'!#REF!</f>
        <v>#REF!</v>
      </c>
      <c r="AE4" t="e">
        <f>'Cash Budget - Projects'!#REF!</f>
        <v>#REF!</v>
      </c>
      <c r="AF4" t="e">
        <f>'Cash Budget - Projects'!#REF!</f>
        <v>#REF!</v>
      </c>
      <c r="AG4" t="e">
        <f>'Cash Budget - Projects'!#REF!</f>
        <v>#REF!</v>
      </c>
      <c r="AH4" t="e">
        <f>'Cash Budget - Projects'!#REF!</f>
        <v>#REF!</v>
      </c>
      <c r="AI4" s="13" t="e">
        <f>'Cash Budget - Projects'!#REF!</f>
        <v>#REF!</v>
      </c>
      <c r="AJ4" s="13" t="e">
        <f>AI4</f>
        <v>#REF!</v>
      </c>
      <c r="AK4" s="13" t="str">
        <f>IFERROR(ROUND(SUM(Table7[[#This Row],[Proposed Annual Salary (1 FTE)]]*(1+$AK$1)),0),"")</f>
        <v/>
      </c>
      <c r="AL4" s="13" t="str">
        <f>IFERROR(ROUND(SUM(Table7[[#This Row],[Proposed Annual Salary (1 FTE)]]*(1+$AK$1)^2),0),"")</f>
        <v/>
      </c>
      <c r="AM4" s="13" t="str">
        <f>IFERROR(ROUND(SUM(Table7[[#This Row],[Proposed Annual Salary (1 FTE)]]*(1+$AK$1)^3),0),"")</f>
        <v/>
      </c>
      <c r="AN4" s="13" t="str">
        <f>IFERROR(ROUND(SUM(Table7[[#This Row],[Proposed Annual Salary (1 FTE)]]*(1+$AK$1)^4),0),"")</f>
        <v/>
      </c>
      <c r="AO4" s="13" t="str">
        <f>IFERROR(ROUND(SUM(Table7[[#This Row],[Proposed Annual Salary (1 FTE)]]*(1+$AK$1)^5),0),"")</f>
        <v/>
      </c>
      <c r="AP4" s="13" t="str">
        <f>IFERROR(ROUND(SUM(Table7[[#This Row],[Year 1 (No Pay Rise)]]*(1+$AQ$1)),0),"")</f>
        <v/>
      </c>
      <c r="AQ4" s="13" t="str">
        <f>IFERROR(ROUND(SUM(Table7[[#This Row],[With Pay Rise Year 2]]*(1+$AQ$1)),0),"")</f>
        <v/>
      </c>
      <c r="AR4" s="13" t="str">
        <f>IFERROR(ROUND(SUM(Table7[[#This Row],[With Pay Rise Year 3]]*(1+$AQ$1)),0),"")</f>
        <v/>
      </c>
      <c r="AS4" s="13" t="str">
        <f>IFERROR(ROUND(SUM(Table7[[#This Row],[With Pay Rise Year 4]]*(1+$AQ$1)),0),"")</f>
        <v/>
      </c>
      <c r="AT4" s="13" t="str">
        <f>IFERROR(ROUND(SUM(Table7[[#This Row],[With Pay Rise Year 5]]*(1+$AQ$1)),0),"")</f>
        <v/>
      </c>
      <c r="AU4" s="13" t="str">
        <f>IFERROR(ROUND(SUM(Table7[[#This Row],[With Pay Rise Year 6]]*(1+$AQ$1)),0),"")</f>
        <v/>
      </c>
      <c r="AW4">
        <f>'In-Kind Contributions'!B14</f>
        <v>0</v>
      </c>
      <c r="AX4">
        <f>'In-Kind Contributions'!C14</f>
        <v>0</v>
      </c>
      <c r="AY4">
        <f>'In-Kind Contributions'!D14</f>
        <v>0</v>
      </c>
      <c r="AZ4" t="e">
        <f>'In-Kind Contributions'!#REF!</f>
        <v>#REF!</v>
      </c>
      <c r="BA4" t="e">
        <f>'In-Kind Contributions'!#REF!</f>
        <v>#REF!</v>
      </c>
      <c r="BB4" s="13" t="e">
        <f>'In-Kind Contributions'!#REF!</f>
        <v>#REF!</v>
      </c>
      <c r="BC4" s="13" t="e">
        <f>BB4</f>
        <v>#REF!</v>
      </c>
      <c r="BD4" s="13" t="str">
        <f>IFERROR(ROUND(SUM(Table79[[#This Row],[Proposed Annual Salary (1 FTE)]]*(1+$BD$1)),0),"")</f>
        <v/>
      </c>
      <c r="BE4" s="13" t="str">
        <f>IFERROR(ROUND(SUM(Table79[[#This Row],[Proposed Annual Salary (1 FTE)]]*(1+$BD$1)^2),0),"")</f>
        <v/>
      </c>
      <c r="BF4" s="13" t="str">
        <f>IFERROR(ROUND(SUM(Table79[[#This Row],[Proposed Annual Salary (1 FTE)]]*(1+$BD$1)^3),0),"")</f>
        <v/>
      </c>
      <c r="BG4" s="13" t="str">
        <f>IFERROR(ROUND(SUM(Table79[[#This Row],[Proposed Annual Salary (1 FTE)]]*(1+$BD$1)^4),0),"")</f>
        <v/>
      </c>
      <c r="BH4" s="13" t="str">
        <f>IFERROR(ROUND(SUM(Table79[[#This Row],[Proposed Annual Salary (1 FTE)]]*(1+$BD$1)^5),0),"")</f>
        <v/>
      </c>
      <c r="BI4" s="13" t="str">
        <f>IFERROR(ROUND(SUM(Table79[[#This Row],[Year 1 (No Pay Rise)]]*(1+$BJ$1)),0),"")</f>
        <v/>
      </c>
      <c r="BJ4" s="13" t="str">
        <f>IFERROR(ROUND(SUM(Table79[[#This Row],[With Pay Rise Year 2]]*(1+$BJ$1)),0),"")</f>
        <v/>
      </c>
      <c r="BK4" s="13" t="str">
        <f>IFERROR(ROUND(SUM(Table79[[#This Row],[With Pay Rise Year 3]]*(1+$BJ$1)),0),"")</f>
        <v/>
      </c>
      <c r="BL4" s="13" t="str">
        <f>IFERROR(ROUND(SUM(Table79[[#This Row],[With Pay Rise Year 4]]*(1+$BJ$1)),0),"")</f>
        <v/>
      </c>
      <c r="BM4" s="13" t="str">
        <f>IFERROR(ROUND(SUM(Table79[[#This Row],[With Pay Rise Year 5]]*(1+$BJ$1)),0),"")</f>
        <v/>
      </c>
      <c r="BN4" s="13" t="str">
        <f>IFERROR(ROUND(SUM(Table79[[#This Row],[With Pay Rise Year 6]]*(1+$BJ$1)),0),"")</f>
        <v/>
      </c>
      <c r="BP4" t="e">
        <f>'Cash Budget - Projects'!#REF!</f>
        <v>#REF!</v>
      </c>
      <c r="BQ4" t="e">
        <f>'Cash Budget - Projects'!#REF!</f>
        <v>#REF!</v>
      </c>
      <c r="BR4" s="13" t="e">
        <f>'Cash Budget - Projects'!#REF!</f>
        <v>#REF!</v>
      </c>
      <c r="BS4" s="13" t="e">
        <f>BR4</f>
        <v>#REF!</v>
      </c>
      <c r="BT4" s="13" t="str">
        <f>IFERROR(ROUND(SUM(Table7912[[#This Row],[Annual Stipend]]*(1+$BT$1)),0),"")</f>
        <v/>
      </c>
      <c r="BU4" s="13" t="str">
        <f>IFERROR(ROUND(SUM(Table7912[[#This Row],[Annual Stipend]]*(1+$BT$1)^2),0),"")</f>
        <v/>
      </c>
      <c r="BV4" s="13" t="str">
        <f>IFERROR(ROUND(SUM(Table7912[[#This Row],[Annual Stipend]]*(1+$BT$1)^3),0),"")</f>
        <v/>
      </c>
      <c r="BW4" s="13" t="str">
        <f>IFERROR(ROUND(SUM(Table7912[[#This Row],[Annual Stipend]]*(1+$BT$1)^4),0),"")</f>
        <v/>
      </c>
      <c r="BX4" s="13" t="str">
        <f>IFERROR(ROUND(SUM(Table7912[[#This Row],[Annual Stipend]]*(1+$BT$1)^5),0),"")</f>
        <v/>
      </c>
      <c r="BY4" s="13" t="str">
        <f>IFERROR(ROUND(SUM(Table7912[[#This Row],[Year 1 (No Pay Rise)]]*(1+$BZ$1)),0),"")</f>
        <v/>
      </c>
      <c r="BZ4" s="13" t="str">
        <f>IFERROR(ROUND(SUM(Table7912[[#This Row],[With Pay Rise Year 2]]*(1+$BZ$1)),0),"")</f>
        <v/>
      </c>
      <c r="CA4" s="13" t="str">
        <f>IFERROR(ROUND(SUM(Table7912[[#This Row],[With Pay Rise Year 3]]*(1+$BZ$1)),0),"")</f>
        <v/>
      </c>
      <c r="CB4" s="13" t="str">
        <f>IFERROR(ROUND(SUM(Table7912[[#This Row],[With Pay Rise Year 4]]*(1+$BZ$1)),0),"")</f>
        <v/>
      </c>
      <c r="CC4" s="13" t="str">
        <f>IFERROR(ROUND(SUM(Table7912[[#This Row],[With Pay Rise Year 5]]*(1+$BZ$1)),0),"")</f>
        <v/>
      </c>
      <c r="CD4" s="13" t="str">
        <f>IFERROR(ROUND(SUM(Table7912[[#This Row],[With Pay Rise Year 6]]*(1+$BZ$1)),0),"")</f>
        <v/>
      </c>
    </row>
    <row r="5" spans="1:84">
      <c r="A5" t="s">
        <v>230</v>
      </c>
      <c r="B5" s="1">
        <v>81618</v>
      </c>
      <c r="C5" t="s">
        <v>231</v>
      </c>
      <c r="D5" s="1">
        <v>81618</v>
      </c>
      <c r="E5" t="s">
        <v>232</v>
      </c>
      <c r="F5" s="1">
        <v>55905</v>
      </c>
      <c r="H5" t="s">
        <v>200</v>
      </c>
      <c r="J5" t="s">
        <v>233</v>
      </c>
      <c r="K5" t="s">
        <v>234</v>
      </c>
      <c r="L5" t="s">
        <v>235</v>
      </c>
      <c r="M5" t="s">
        <v>236</v>
      </c>
      <c r="O5" t="s">
        <v>233</v>
      </c>
      <c r="P5" s="4">
        <f>$B$12-($B$12*0.1)</f>
        <v>98166.6</v>
      </c>
      <c r="Q5" s="4">
        <f>Staff_min_max[[#This Row],[Min (-10%)]]+(3*((Staff_min_max[[#This Row],[Max (+ 10%)]]-Staff_min_max[[#This Row],[Min (-10%)]])/4))</f>
        <v>130865.17500000002</v>
      </c>
      <c r="R5" s="4">
        <f>$B$17+($B$17*0.1)</f>
        <v>141764.70000000001</v>
      </c>
      <c r="S5" s="2">
        <f>Staff_min_max[[#This Row],[Max (+ 10%)]]</f>
        <v>141764.70000000001</v>
      </c>
      <c r="T5" s="9">
        <f>ROUND((Staff_min_max[[#This Row],[Max (+ 10%)]]*(1+$T$1)^1),0)</f>
        <v>145309</v>
      </c>
      <c r="U5" s="9">
        <f>ROUND((Staff_min_max[[#This Row],[Year 1 (No Pay Rise)]]*(1+$T$1)^2),0)</f>
        <v>148942</v>
      </c>
      <c r="V5" s="9">
        <f>ROUND((Staff_min_max[[#This Row],[Year 1 (No Pay Rise)]]*(1+$T$1)^3),0)</f>
        <v>152665</v>
      </c>
      <c r="W5" s="9">
        <f>ROUND((Staff_min_max[[#This Row],[Year 1 (No Pay Rise)]]*(1+$T$1)^4),0)</f>
        <v>156482</v>
      </c>
      <c r="X5" s="9">
        <f>ROUND(SUM(Staff_min_max[[#This Row],[Year 1 (No Pay Rise)]]*(1+$Y$1)),0)</f>
        <v>184294</v>
      </c>
      <c r="Y5" s="9">
        <f>ROUND(SUM(Staff_min_max[[#This Row],[With Pay Rise Year 2]]*(1+$Y$1)),0)</f>
        <v>188902</v>
      </c>
      <c r="Z5" s="9">
        <f>ROUND(SUM(Staff_min_max[[#This Row],[With Pay Rise Year 3]]*(1+$Y$1)),0)</f>
        <v>193625</v>
      </c>
      <c r="AA5" s="9">
        <f>ROUND(SUM(Staff_min_max[[#This Row],[With Pay Rise Year 4]]*(1+$Y$1)),0)</f>
        <v>198465</v>
      </c>
      <c r="AB5" s="9">
        <f>ROUND(SUM(Staff_min_max[[#This Row],[With Pay Rise Year 5]]*(1+$Y$1)),0)</f>
        <v>203427</v>
      </c>
      <c r="AD5" t="e">
        <f>'Cash Budget - Projects'!#REF!</f>
        <v>#REF!</v>
      </c>
      <c r="AE5" t="e">
        <f>'Cash Budget - Projects'!#REF!</f>
        <v>#REF!</v>
      </c>
      <c r="AF5" t="e">
        <f>'Cash Budget - Projects'!#REF!</f>
        <v>#REF!</v>
      </c>
      <c r="AG5" t="e">
        <f>'Cash Budget - Projects'!#REF!</f>
        <v>#REF!</v>
      </c>
      <c r="AH5" t="e">
        <f>'Cash Budget - Projects'!#REF!</f>
        <v>#REF!</v>
      </c>
      <c r="AI5" s="13" t="e">
        <f>'Cash Budget - Projects'!#REF!</f>
        <v>#REF!</v>
      </c>
      <c r="AJ5" s="13" t="e">
        <f t="shared" ref="AJ5:AJ9" si="0">AI5</f>
        <v>#REF!</v>
      </c>
      <c r="AK5" s="13" t="str">
        <f>IFERROR(ROUND(SUM(Table7[[#This Row],[Proposed Annual Salary (1 FTE)]]*(1+$AK$1)),0),"")</f>
        <v/>
      </c>
      <c r="AL5" s="13" t="str">
        <f>IFERROR(ROUND(SUM(Table7[[#This Row],[Proposed Annual Salary (1 FTE)]]*(1+$AK$1)^2),0),"")</f>
        <v/>
      </c>
      <c r="AM5" s="13" t="str">
        <f>IFERROR(ROUND(SUM(Table7[[#This Row],[Proposed Annual Salary (1 FTE)]]*(1+$AK$1)^3),0),"")</f>
        <v/>
      </c>
      <c r="AN5" s="13" t="str">
        <f>IFERROR(ROUND(SUM(Table7[[#This Row],[Proposed Annual Salary (1 FTE)]]*(1+$AK$1)^4),0),"")</f>
        <v/>
      </c>
      <c r="AO5" s="13" t="str">
        <f>IFERROR(ROUND(SUM(Table7[[#This Row],[Proposed Annual Salary (1 FTE)]]*(1+$AK$1)^5),0),"")</f>
        <v/>
      </c>
      <c r="AP5" s="13" t="str">
        <f>IFERROR(ROUND(SUM(Table7[[#This Row],[Year 1 (No Pay Rise)]]*(1+$AQ$1)),0),"")</f>
        <v/>
      </c>
      <c r="AQ5" s="13" t="str">
        <f>IFERROR(ROUND(SUM(Table7[[#This Row],[With Pay Rise Year 2]]*(1+$AQ$1)),0),"")</f>
        <v/>
      </c>
      <c r="AR5" s="13" t="str">
        <f>IFERROR(ROUND(SUM(Table7[[#This Row],[With Pay Rise Year 3]]*(1+$AQ$1)),0),"")</f>
        <v/>
      </c>
      <c r="AS5" s="13" t="str">
        <f>IFERROR(ROUND(SUM(Table7[[#This Row],[With Pay Rise Year 4]]*(1+$AQ$1)),0),"")</f>
        <v/>
      </c>
      <c r="AT5" s="13" t="str">
        <f>IFERROR(ROUND(SUM(Table7[[#This Row],[With Pay Rise Year 5]]*(1+$AQ$1)),0),"")</f>
        <v/>
      </c>
      <c r="AU5" s="13" t="str">
        <f>IFERROR(ROUND(SUM(Table7[[#This Row],[With Pay Rise Year 6]]*(1+$AQ$1)),0),"")</f>
        <v/>
      </c>
      <c r="AW5" t="e">
        <f>'In-Kind Contributions'!#REF!</f>
        <v>#REF!</v>
      </c>
      <c r="AX5" t="e">
        <f>'In-Kind Contributions'!#REF!</f>
        <v>#REF!</v>
      </c>
      <c r="AY5" t="e">
        <f>'In-Kind Contributions'!#REF!</f>
        <v>#REF!</v>
      </c>
      <c r="AZ5" t="e">
        <f>'In-Kind Contributions'!#REF!</f>
        <v>#REF!</v>
      </c>
      <c r="BA5" t="e">
        <f>'In-Kind Contributions'!#REF!</f>
        <v>#REF!</v>
      </c>
      <c r="BB5" s="13" t="e">
        <f>'In-Kind Contributions'!#REF!</f>
        <v>#REF!</v>
      </c>
      <c r="BC5" s="13" t="e">
        <f t="shared" ref="BC5:BC9" si="1">BB5</f>
        <v>#REF!</v>
      </c>
      <c r="BD5" s="13" t="str">
        <f>IFERROR(ROUND(SUM(Table79[[#This Row],[Proposed Annual Salary (1 FTE)]]*(1+$BD$1)),0),"")</f>
        <v/>
      </c>
      <c r="BE5" s="13" t="str">
        <f>IFERROR(ROUND(SUM(Table79[[#This Row],[Proposed Annual Salary (1 FTE)]]*(1+$BD$1)^2),0),"")</f>
        <v/>
      </c>
      <c r="BF5" s="13" t="str">
        <f>IFERROR(ROUND(SUM(Table79[[#This Row],[Proposed Annual Salary (1 FTE)]]*(1+$BD$1)^3),0),"")</f>
        <v/>
      </c>
      <c r="BG5" s="13" t="str">
        <f>IFERROR(ROUND(SUM(Table79[[#This Row],[Proposed Annual Salary (1 FTE)]]*(1+$BD$1)^4),0),"")</f>
        <v/>
      </c>
      <c r="BH5" s="13" t="str">
        <f>IFERROR(ROUND(SUM(Table79[[#This Row],[Proposed Annual Salary (1 FTE)]]*(1+$BD$1)^5),0),"")</f>
        <v/>
      </c>
      <c r="BI5" s="13" t="str">
        <f>IFERROR(ROUND(SUM(Table79[[#This Row],[Year 1 (No Pay Rise)]]*(1+$BJ$1)),0),"")</f>
        <v/>
      </c>
      <c r="BJ5" s="13" t="str">
        <f>IFERROR(ROUND(SUM(Table79[[#This Row],[With Pay Rise Year 2]]*(1+$BJ$1)),0),"")</f>
        <v/>
      </c>
      <c r="BK5" s="13" t="str">
        <f>IFERROR(ROUND(SUM(Table79[[#This Row],[With Pay Rise Year 3]]*(1+$BJ$1)),0),"")</f>
        <v/>
      </c>
      <c r="BL5" s="13" t="str">
        <f>IFERROR(ROUND(SUM(Table79[[#This Row],[With Pay Rise Year 4]]*(1+$BJ$1)),0),"")</f>
        <v/>
      </c>
      <c r="BM5" s="13" t="str">
        <f>IFERROR(ROUND(SUM(Table79[[#This Row],[With Pay Rise Year 5]]*(1+$BJ$1)),0),"")</f>
        <v/>
      </c>
      <c r="BN5" s="13" t="str">
        <f>IFERROR(ROUND(SUM(Table79[[#This Row],[With Pay Rise Year 6]]*(1+$BJ$1)),0),"")</f>
        <v/>
      </c>
      <c r="BP5" t="e">
        <f>'Cash Budget - Projects'!#REF!</f>
        <v>#REF!</v>
      </c>
      <c r="BQ5" t="e">
        <f>'Cash Budget - Projects'!#REF!</f>
        <v>#REF!</v>
      </c>
      <c r="BR5" s="13" t="e">
        <f>'Cash Budget - Projects'!#REF!</f>
        <v>#REF!</v>
      </c>
      <c r="BS5" s="13" t="e">
        <f t="shared" ref="BS5:BS9" si="2">BR5</f>
        <v>#REF!</v>
      </c>
      <c r="BT5" s="13" t="str">
        <f>IFERROR(ROUND(SUM(Table7912[[#This Row],[Annual Stipend]]*(1+$BT$1)),0),"")</f>
        <v/>
      </c>
      <c r="BU5" s="13" t="str">
        <f>IFERROR(ROUND(SUM(Table7912[[#This Row],[Annual Stipend]]*(1+$BT$1)^2),0),"")</f>
        <v/>
      </c>
      <c r="BV5" s="13" t="str">
        <f>IFERROR(ROUND(SUM(Table7912[[#This Row],[Annual Stipend]]*(1+$BT$1)^3),0),"")</f>
        <v/>
      </c>
      <c r="BW5" s="13" t="str">
        <f>IFERROR(ROUND(SUM(Table7912[[#This Row],[Annual Stipend]]*(1+$BT$1)^4),0),"")</f>
        <v/>
      </c>
      <c r="BX5" s="13" t="str">
        <f>IFERROR(ROUND(SUM(Table7912[[#This Row],[Annual Stipend]]*(1+$BT$1)^5),0),"")</f>
        <v/>
      </c>
      <c r="BY5" s="13" t="str">
        <f>IFERROR(ROUND(SUM(Table7912[[#This Row],[Year 1 (No Pay Rise)]]*(1+$BZ$1)),0),"")</f>
        <v/>
      </c>
      <c r="BZ5" s="13" t="str">
        <f>IFERROR(ROUND(SUM(Table7912[[#This Row],[With Pay Rise Year 2]]*(1+$BZ$1)),0),"")</f>
        <v/>
      </c>
      <c r="CA5" s="13" t="str">
        <f>IFERROR(ROUND(SUM(Table7912[[#This Row],[With Pay Rise Year 3]]*(1+$BZ$1)),0),"")</f>
        <v/>
      </c>
      <c r="CB5" s="13" t="str">
        <f>IFERROR(ROUND(SUM(Table7912[[#This Row],[With Pay Rise Year 4]]*(1+$BZ$1)),0),"")</f>
        <v/>
      </c>
      <c r="CC5" s="13" t="str">
        <f>IFERROR(ROUND(SUM(Table7912[[#This Row],[With Pay Rise Year 5]]*(1+$BZ$1)),0),"")</f>
        <v/>
      </c>
      <c r="CD5" s="13" t="str">
        <f>IFERROR(ROUND(SUM(Table7912[[#This Row],[With Pay Rise Year 6]]*(1+$BZ$1)),0),"")</f>
        <v/>
      </c>
    </row>
    <row r="6" spans="1:84">
      <c r="A6" t="s">
        <v>237</v>
      </c>
      <c r="B6" s="1">
        <v>85838</v>
      </c>
      <c r="C6" t="s">
        <v>238</v>
      </c>
      <c r="D6" s="1">
        <v>85838</v>
      </c>
      <c r="E6" t="s">
        <v>239</v>
      </c>
      <c r="F6" s="1">
        <v>57068</v>
      </c>
      <c r="H6" t="s">
        <v>201</v>
      </c>
      <c r="J6" t="s">
        <v>240</v>
      </c>
      <c r="K6" t="s">
        <v>241</v>
      </c>
      <c r="L6" t="s">
        <v>242</v>
      </c>
      <c r="M6" t="s">
        <v>243</v>
      </c>
      <c r="O6" t="s">
        <v>240</v>
      </c>
      <c r="P6" s="4">
        <f>$B$18-($B$18*0.1)</f>
        <v>119555.1</v>
      </c>
      <c r="Q6" s="4">
        <f>Staff_min_max[[#This Row],[Min (-10%)]]+(3*((Staff_min_max[[#This Row],[Max (+ 10%)]]-Staff_min_max[[#This Row],[Min (-10%)]])/4))</f>
        <v>155819.25</v>
      </c>
      <c r="R6" s="4">
        <f>$B$23+($B$23*0.1)</f>
        <v>167907.3</v>
      </c>
      <c r="S6" s="2">
        <f>Staff_min_max[[#This Row],[Max (+ 10%)]]</f>
        <v>167907.3</v>
      </c>
      <c r="T6" s="9">
        <f>ROUND((Staff_min_max[[#This Row],[Max (+ 10%)]]*(1+$T$1)^1),0)</f>
        <v>172105</v>
      </c>
      <c r="U6" s="9">
        <f>ROUND((Staff_min_max[[#This Row],[Year 1 (No Pay Rise)]]*(1+$T$1)^2),0)</f>
        <v>176408</v>
      </c>
      <c r="V6" s="9">
        <f>ROUND((Staff_min_max[[#This Row],[Year 1 (No Pay Rise)]]*(1+$T$1)^3),0)</f>
        <v>180818</v>
      </c>
      <c r="W6" s="9">
        <f>ROUND((Staff_min_max[[#This Row],[Year 1 (No Pay Rise)]]*(1+$T$1)^4),0)</f>
        <v>185338</v>
      </c>
      <c r="X6" s="9">
        <f>ROUND(SUM(Staff_min_max[[#This Row],[Year 1 (No Pay Rise)]]*(1+$Y$1)),0)</f>
        <v>218279</v>
      </c>
      <c r="Y6" s="9">
        <f>ROUND(SUM(Staff_min_max[[#This Row],[With Pay Rise Year 2]]*(1+$Y$1)),0)</f>
        <v>223737</v>
      </c>
      <c r="Z6" s="9">
        <f>ROUND(SUM(Staff_min_max[[#This Row],[With Pay Rise Year 3]]*(1+$Y$1)),0)</f>
        <v>229330</v>
      </c>
      <c r="AA6" s="9">
        <f>ROUND(SUM(Staff_min_max[[#This Row],[With Pay Rise Year 4]]*(1+$Y$1)),0)</f>
        <v>235063</v>
      </c>
      <c r="AB6" s="9">
        <f>ROUND(SUM(Staff_min_max[[#This Row],[With Pay Rise Year 5]]*(1+$Y$1)),0)</f>
        <v>240939</v>
      </c>
      <c r="AD6" t="e">
        <f>'Cash Budget - Projects'!#REF!</f>
        <v>#REF!</v>
      </c>
      <c r="AE6" t="e">
        <f>'Cash Budget - Projects'!#REF!</f>
        <v>#REF!</v>
      </c>
      <c r="AF6" t="e">
        <f>'Cash Budget - Projects'!#REF!</f>
        <v>#REF!</v>
      </c>
      <c r="AG6" t="e">
        <f>'Cash Budget - Projects'!#REF!</f>
        <v>#REF!</v>
      </c>
      <c r="AH6" t="e">
        <f>'Cash Budget - Projects'!#REF!</f>
        <v>#REF!</v>
      </c>
      <c r="AI6" s="13" t="e">
        <f>'Cash Budget - Projects'!#REF!</f>
        <v>#REF!</v>
      </c>
      <c r="AJ6" s="13" t="e">
        <f t="shared" si="0"/>
        <v>#REF!</v>
      </c>
      <c r="AK6" s="13" t="str">
        <f>IFERROR(ROUND(SUM(Table7[[#This Row],[Proposed Annual Salary (1 FTE)]]*(1+$AK$1)),0),"")</f>
        <v/>
      </c>
      <c r="AL6" s="13" t="str">
        <f>IFERROR(ROUND(SUM(Table7[[#This Row],[Proposed Annual Salary (1 FTE)]]*(1+$AK$1)^2),0),"")</f>
        <v/>
      </c>
      <c r="AM6" s="13" t="str">
        <f>IFERROR(ROUND(SUM(Table7[[#This Row],[Proposed Annual Salary (1 FTE)]]*(1+$AK$1)^3),0),"")</f>
        <v/>
      </c>
      <c r="AN6" s="13" t="str">
        <f>IFERROR(ROUND(SUM(Table7[[#This Row],[Proposed Annual Salary (1 FTE)]]*(1+$AK$1)^4),0),"")</f>
        <v/>
      </c>
      <c r="AO6" s="13" t="str">
        <f>IFERROR(ROUND(SUM(Table7[[#This Row],[Proposed Annual Salary (1 FTE)]]*(1+$AK$1)^5),0),"")</f>
        <v/>
      </c>
      <c r="AP6" s="13" t="str">
        <f>IFERROR(ROUND(SUM(Table7[[#This Row],[Year 1 (No Pay Rise)]]*(1+$AQ$1)),0),"")</f>
        <v/>
      </c>
      <c r="AQ6" s="13" t="str">
        <f>IFERROR(ROUND(SUM(Table7[[#This Row],[With Pay Rise Year 2]]*(1+$AQ$1)),0),"")</f>
        <v/>
      </c>
      <c r="AR6" s="13" t="str">
        <f>IFERROR(ROUND(SUM(Table7[[#This Row],[With Pay Rise Year 3]]*(1+$AQ$1)),0),"")</f>
        <v/>
      </c>
      <c r="AS6" s="13" t="str">
        <f>IFERROR(ROUND(SUM(Table7[[#This Row],[With Pay Rise Year 4]]*(1+$AQ$1)),0),"")</f>
        <v/>
      </c>
      <c r="AT6" s="13" t="str">
        <f>IFERROR(ROUND(SUM(Table7[[#This Row],[With Pay Rise Year 5]]*(1+$AQ$1)),0),"")</f>
        <v/>
      </c>
      <c r="AU6" s="13" t="str">
        <f>IFERROR(ROUND(SUM(Table7[[#This Row],[With Pay Rise Year 6]]*(1+$AQ$1)),0),"")</f>
        <v/>
      </c>
      <c r="AW6" t="e">
        <f>'In-Kind Contributions'!#REF!</f>
        <v>#REF!</v>
      </c>
      <c r="AX6" t="e">
        <f>'In-Kind Contributions'!#REF!</f>
        <v>#REF!</v>
      </c>
      <c r="AY6" t="e">
        <f>'In-Kind Contributions'!#REF!</f>
        <v>#REF!</v>
      </c>
      <c r="AZ6" t="e">
        <f>'In-Kind Contributions'!#REF!</f>
        <v>#REF!</v>
      </c>
      <c r="BA6" t="e">
        <f>'In-Kind Contributions'!#REF!</f>
        <v>#REF!</v>
      </c>
      <c r="BB6" s="13" t="e">
        <f>'In-Kind Contributions'!#REF!</f>
        <v>#REF!</v>
      </c>
      <c r="BC6" s="13" t="e">
        <f t="shared" si="1"/>
        <v>#REF!</v>
      </c>
      <c r="BD6" s="13" t="str">
        <f>IFERROR(ROUND(SUM(Table79[[#This Row],[Proposed Annual Salary (1 FTE)]]*(1+$BD$1)),0),"")</f>
        <v/>
      </c>
      <c r="BE6" s="13" t="str">
        <f>IFERROR(ROUND(SUM(Table79[[#This Row],[Proposed Annual Salary (1 FTE)]]*(1+$BD$1)^2),0),"")</f>
        <v/>
      </c>
      <c r="BF6" s="13" t="str">
        <f>IFERROR(ROUND(SUM(Table79[[#This Row],[Proposed Annual Salary (1 FTE)]]*(1+$BD$1)^3),0),"")</f>
        <v/>
      </c>
      <c r="BG6" s="13" t="str">
        <f>IFERROR(ROUND(SUM(Table79[[#This Row],[Proposed Annual Salary (1 FTE)]]*(1+$BD$1)^4),0),"")</f>
        <v/>
      </c>
      <c r="BH6" s="13" t="str">
        <f>IFERROR(ROUND(SUM(Table79[[#This Row],[Proposed Annual Salary (1 FTE)]]*(1+$BD$1)^5),0),"")</f>
        <v/>
      </c>
      <c r="BI6" s="13" t="str">
        <f>IFERROR(ROUND(SUM(Table79[[#This Row],[Year 1 (No Pay Rise)]]*(1+$BJ$1)),0),"")</f>
        <v/>
      </c>
      <c r="BJ6" s="13" t="str">
        <f>IFERROR(ROUND(SUM(Table79[[#This Row],[With Pay Rise Year 2]]*(1+$BJ$1)),0),"")</f>
        <v/>
      </c>
      <c r="BK6" s="13" t="str">
        <f>IFERROR(ROUND(SUM(Table79[[#This Row],[With Pay Rise Year 3]]*(1+$BJ$1)),0),"")</f>
        <v/>
      </c>
      <c r="BL6" s="13" t="str">
        <f>IFERROR(ROUND(SUM(Table79[[#This Row],[With Pay Rise Year 4]]*(1+$BJ$1)),0),"")</f>
        <v/>
      </c>
      <c r="BM6" s="13" t="str">
        <f>IFERROR(ROUND(SUM(Table79[[#This Row],[With Pay Rise Year 5]]*(1+$BJ$1)),0),"")</f>
        <v/>
      </c>
      <c r="BN6" s="13" t="str">
        <f>IFERROR(ROUND(SUM(Table79[[#This Row],[With Pay Rise Year 6]]*(1+$BJ$1)),0),"")</f>
        <v/>
      </c>
      <c r="BP6" t="e">
        <f>'Cash Budget - Projects'!#REF!</f>
        <v>#REF!</v>
      </c>
      <c r="BQ6" t="e">
        <f>'Cash Budget - Projects'!#REF!</f>
        <v>#REF!</v>
      </c>
      <c r="BR6" s="13" t="e">
        <f>'Cash Budget - Projects'!#REF!</f>
        <v>#REF!</v>
      </c>
      <c r="BS6" s="13" t="e">
        <f t="shared" si="2"/>
        <v>#REF!</v>
      </c>
      <c r="BT6" s="13" t="str">
        <f>IFERROR(ROUND(SUM(Table7912[[#This Row],[Annual Stipend]]*(1+$BT$1)),0),"")</f>
        <v/>
      </c>
      <c r="BU6" s="13" t="str">
        <f>IFERROR(ROUND(SUM(Table7912[[#This Row],[Annual Stipend]]*(1+$BT$1)^2),0),"")</f>
        <v/>
      </c>
      <c r="BV6" s="13" t="str">
        <f>IFERROR(ROUND(SUM(Table7912[[#This Row],[Annual Stipend]]*(1+$BT$1)^3),0),"")</f>
        <v/>
      </c>
      <c r="BW6" s="13" t="str">
        <f>IFERROR(ROUND(SUM(Table7912[[#This Row],[Annual Stipend]]*(1+$BT$1)^4),0),"")</f>
        <v/>
      </c>
      <c r="BX6" s="13" t="str">
        <f>IFERROR(ROUND(SUM(Table7912[[#This Row],[Annual Stipend]]*(1+$BT$1)^5),0),"")</f>
        <v/>
      </c>
      <c r="BY6" s="13" t="str">
        <f>IFERROR(ROUND(SUM(Table7912[[#This Row],[Year 1 (No Pay Rise)]]*(1+$BZ$1)),0),"")</f>
        <v/>
      </c>
      <c r="BZ6" s="13" t="str">
        <f>IFERROR(ROUND(SUM(Table7912[[#This Row],[With Pay Rise Year 2]]*(1+$BZ$1)),0),"")</f>
        <v/>
      </c>
      <c r="CA6" s="13" t="str">
        <f>IFERROR(ROUND(SUM(Table7912[[#This Row],[With Pay Rise Year 3]]*(1+$BZ$1)),0),"")</f>
        <v/>
      </c>
      <c r="CB6" s="13" t="str">
        <f>IFERROR(ROUND(SUM(Table7912[[#This Row],[With Pay Rise Year 4]]*(1+$BZ$1)),0),"")</f>
        <v/>
      </c>
      <c r="CC6" s="13" t="str">
        <f>IFERROR(ROUND(SUM(Table7912[[#This Row],[With Pay Rise Year 5]]*(1+$BZ$1)),0),"")</f>
        <v/>
      </c>
      <c r="CD6" s="13" t="str">
        <f>IFERROR(ROUND(SUM(Table7912[[#This Row],[With Pay Rise Year 6]]*(1+$BZ$1)),0),"")</f>
        <v/>
      </c>
    </row>
    <row r="7" spans="1:84">
      <c r="A7" t="s">
        <v>244</v>
      </c>
      <c r="B7" s="1">
        <v>90062</v>
      </c>
      <c r="C7" t="s">
        <v>245</v>
      </c>
      <c r="D7" s="1">
        <v>90062</v>
      </c>
      <c r="E7" t="s">
        <v>246</v>
      </c>
      <c r="F7" s="1">
        <v>58819</v>
      </c>
      <c r="H7" t="s">
        <v>202</v>
      </c>
      <c r="J7" t="s">
        <v>247</v>
      </c>
      <c r="K7" t="s">
        <v>248</v>
      </c>
      <c r="L7" t="s">
        <v>249</v>
      </c>
      <c r="M7" t="s">
        <v>250</v>
      </c>
      <c r="O7" t="s">
        <v>247</v>
      </c>
      <c r="P7" s="4">
        <f>$B$24-($B$24*0.1)</f>
        <v>143316.9</v>
      </c>
      <c r="Q7" s="4">
        <f>Staff_min_max[[#This Row],[Min (-10%)]]+(3*((Staff_min_max[[#This Row],[Max (+ 10%)]]-Staff_min_max[[#This Row],[Min (-10%)]])/4))</f>
        <v>180268.57499999998</v>
      </c>
      <c r="R7" s="4">
        <f>$B$27+($B$27*0.1)</f>
        <v>192585.8</v>
      </c>
      <c r="S7" s="2">
        <f>Staff_min_max[[#This Row],[Max (+ 10%)]]</f>
        <v>192585.8</v>
      </c>
      <c r="T7" s="9">
        <f>ROUND((Staff_min_max[[#This Row],[Max (+ 10%)]]*(1+$T$1)^1),0)</f>
        <v>197400</v>
      </c>
      <c r="U7" s="9">
        <f>ROUND((Staff_min_max[[#This Row],[Year 1 (No Pay Rise)]]*(1+$T$1)^2),0)</f>
        <v>202335</v>
      </c>
      <c r="V7" s="9">
        <f>ROUND((Staff_min_max[[#This Row],[Year 1 (No Pay Rise)]]*(1+$T$1)^3),0)</f>
        <v>207394</v>
      </c>
      <c r="W7" s="9">
        <f>ROUND((Staff_min_max[[#This Row],[Year 1 (No Pay Rise)]]*(1+$T$1)^4),0)</f>
        <v>212579</v>
      </c>
      <c r="X7" s="9">
        <f>ROUND(SUM(Staff_min_max[[#This Row],[Year 1 (No Pay Rise)]]*(1+$Y$1)),0)</f>
        <v>250362</v>
      </c>
      <c r="Y7" s="9">
        <f>ROUND(SUM(Staff_min_max[[#This Row],[With Pay Rise Year 2]]*(1+$Y$1)),0)</f>
        <v>256620</v>
      </c>
      <c r="Z7" s="9">
        <f>ROUND(SUM(Staff_min_max[[#This Row],[With Pay Rise Year 3]]*(1+$Y$1)),0)</f>
        <v>263036</v>
      </c>
      <c r="AA7" s="9">
        <f>ROUND(SUM(Staff_min_max[[#This Row],[With Pay Rise Year 4]]*(1+$Y$1)),0)</f>
        <v>269612</v>
      </c>
      <c r="AB7" s="9">
        <f>ROUND(SUM(Staff_min_max[[#This Row],[With Pay Rise Year 5]]*(1+$Y$1)),0)</f>
        <v>276353</v>
      </c>
      <c r="AD7" t="e">
        <f>'Cash Budget - Projects'!#REF!</f>
        <v>#REF!</v>
      </c>
      <c r="AE7" t="e">
        <f>'Cash Budget - Projects'!#REF!</f>
        <v>#REF!</v>
      </c>
      <c r="AF7" t="e">
        <f>'Cash Budget - Projects'!#REF!</f>
        <v>#REF!</v>
      </c>
      <c r="AG7" t="e">
        <f>'Cash Budget - Projects'!#REF!</f>
        <v>#REF!</v>
      </c>
      <c r="AH7" t="e">
        <f>'Cash Budget - Projects'!#REF!</f>
        <v>#REF!</v>
      </c>
      <c r="AI7" s="13" t="e">
        <f>'Cash Budget - Projects'!#REF!</f>
        <v>#REF!</v>
      </c>
      <c r="AJ7" s="13" t="e">
        <f t="shared" si="0"/>
        <v>#REF!</v>
      </c>
      <c r="AK7" s="13" t="str">
        <f>IFERROR(ROUND(SUM(Table7[[#This Row],[Proposed Annual Salary (1 FTE)]]*(1+$AK$1)),0),"")</f>
        <v/>
      </c>
      <c r="AL7" s="13" t="str">
        <f>IFERROR(ROUND(SUM(Table7[[#This Row],[Proposed Annual Salary (1 FTE)]]*(1+$AK$1)^2),0),"")</f>
        <v/>
      </c>
      <c r="AM7" s="13" t="str">
        <f>IFERROR(ROUND(SUM(Table7[[#This Row],[Proposed Annual Salary (1 FTE)]]*(1+$AK$1)^3),0),"")</f>
        <v/>
      </c>
      <c r="AN7" s="13" t="str">
        <f>IFERROR(ROUND(SUM(Table7[[#This Row],[Proposed Annual Salary (1 FTE)]]*(1+$AK$1)^4),0),"")</f>
        <v/>
      </c>
      <c r="AO7" s="13" t="str">
        <f>IFERROR(ROUND(SUM(Table7[[#This Row],[Proposed Annual Salary (1 FTE)]]*(1+$AK$1)^5),0),"")</f>
        <v/>
      </c>
      <c r="AP7" s="13" t="str">
        <f>IFERROR(ROUND(SUM(Table7[[#This Row],[Year 1 (No Pay Rise)]]*(1+$AQ$1)),0),"")</f>
        <v/>
      </c>
      <c r="AQ7" s="13" t="str">
        <f>IFERROR(ROUND(SUM(Table7[[#This Row],[With Pay Rise Year 2]]*(1+$AQ$1)),0),"")</f>
        <v/>
      </c>
      <c r="AR7" s="13" t="str">
        <f>IFERROR(ROUND(SUM(Table7[[#This Row],[With Pay Rise Year 3]]*(1+$AQ$1)),0),"")</f>
        <v/>
      </c>
      <c r="AS7" s="13" t="str">
        <f>IFERROR(ROUND(SUM(Table7[[#This Row],[With Pay Rise Year 4]]*(1+$AQ$1)),0),"")</f>
        <v/>
      </c>
      <c r="AT7" s="13" t="str">
        <f>IFERROR(ROUND(SUM(Table7[[#This Row],[With Pay Rise Year 5]]*(1+$AQ$1)),0),"")</f>
        <v/>
      </c>
      <c r="AU7" s="13" t="str">
        <f>IFERROR(ROUND(SUM(Table7[[#This Row],[With Pay Rise Year 6]]*(1+$AQ$1)),0),"")</f>
        <v/>
      </c>
      <c r="AW7" t="e">
        <f>'In-Kind Contributions'!#REF!</f>
        <v>#REF!</v>
      </c>
      <c r="AX7" t="e">
        <f>'In-Kind Contributions'!#REF!</f>
        <v>#REF!</v>
      </c>
      <c r="AY7" t="e">
        <f>'In-Kind Contributions'!#REF!</f>
        <v>#REF!</v>
      </c>
      <c r="AZ7" t="e">
        <f>'In-Kind Contributions'!#REF!</f>
        <v>#REF!</v>
      </c>
      <c r="BA7" t="e">
        <f>'In-Kind Contributions'!#REF!</f>
        <v>#REF!</v>
      </c>
      <c r="BB7" s="13" t="e">
        <f>'In-Kind Contributions'!#REF!</f>
        <v>#REF!</v>
      </c>
      <c r="BC7" s="13" t="e">
        <f t="shared" si="1"/>
        <v>#REF!</v>
      </c>
      <c r="BD7" s="13" t="str">
        <f>IFERROR(ROUND(SUM(Table79[[#This Row],[Proposed Annual Salary (1 FTE)]]*(1+$BD$1)),0),"")</f>
        <v/>
      </c>
      <c r="BE7" s="13" t="str">
        <f>IFERROR(ROUND(SUM(Table79[[#This Row],[Proposed Annual Salary (1 FTE)]]*(1+$BD$1)^2),0),"")</f>
        <v/>
      </c>
      <c r="BF7" s="13" t="str">
        <f>IFERROR(ROUND(SUM(Table79[[#This Row],[Proposed Annual Salary (1 FTE)]]*(1+$BD$1)^3),0),"")</f>
        <v/>
      </c>
      <c r="BG7" s="13" t="str">
        <f>IFERROR(ROUND(SUM(Table79[[#This Row],[Proposed Annual Salary (1 FTE)]]*(1+$BD$1)^4),0),"")</f>
        <v/>
      </c>
      <c r="BH7" s="13" t="str">
        <f>IFERROR(ROUND(SUM(Table79[[#This Row],[Proposed Annual Salary (1 FTE)]]*(1+$BD$1)^5),0),"")</f>
        <v/>
      </c>
      <c r="BI7" s="13" t="str">
        <f>IFERROR(ROUND(SUM(Table79[[#This Row],[Year 1 (No Pay Rise)]]*(1+$BJ$1)),0),"")</f>
        <v/>
      </c>
      <c r="BJ7" s="13" t="str">
        <f>IFERROR(ROUND(SUM(Table79[[#This Row],[With Pay Rise Year 2]]*(1+$BJ$1)),0),"")</f>
        <v/>
      </c>
      <c r="BK7" s="13" t="str">
        <f>IFERROR(ROUND(SUM(Table79[[#This Row],[With Pay Rise Year 3]]*(1+$BJ$1)),0),"")</f>
        <v/>
      </c>
      <c r="BL7" s="13" t="str">
        <f>IFERROR(ROUND(SUM(Table79[[#This Row],[With Pay Rise Year 4]]*(1+$BJ$1)),0),"")</f>
        <v/>
      </c>
      <c r="BM7" s="13" t="str">
        <f>IFERROR(ROUND(SUM(Table79[[#This Row],[With Pay Rise Year 5]]*(1+$BJ$1)),0),"")</f>
        <v/>
      </c>
      <c r="BN7" s="13" t="str">
        <f>IFERROR(ROUND(SUM(Table79[[#This Row],[With Pay Rise Year 6]]*(1+$BJ$1)),0),"")</f>
        <v/>
      </c>
      <c r="BP7" t="e">
        <f>'Cash Budget - Projects'!#REF!</f>
        <v>#REF!</v>
      </c>
      <c r="BQ7" t="e">
        <f>'Cash Budget - Projects'!#REF!</f>
        <v>#REF!</v>
      </c>
      <c r="BR7" s="13" t="e">
        <f>'Cash Budget - Projects'!#REF!</f>
        <v>#REF!</v>
      </c>
      <c r="BS7" s="13" t="e">
        <f t="shared" si="2"/>
        <v>#REF!</v>
      </c>
      <c r="BT7" s="13" t="str">
        <f>IFERROR(ROUND(SUM(Table7912[[#This Row],[Annual Stipend]]*(1+$BT$1)),0),"")</f>
        <v/>
      </c>
      <c r="BU7" s="13" t="str">
        <f>IFERROR(ROUND(SUM(Table7912[[#This Row],[Annual Stipend]]*(1+$BT$1)^2),0),"")</f>
        <v/>
      </c>
      <c r="BV7" s="13" t="str">
        <f>IFERROR(ROUND(SUM(Table7912[[#This Row],[Annual Stipend]]*(1+$BT$1)^3),0),"")</f>
        <v/>
      </c>
      <c r="BW7" s="13" t="str">
        <f>IFERROR(ROUND(SUM(Table7912[[#This Row],[Annual Stipend]]*(1+$BT$1)^4),0),"")</f>
        <v/>
      </c>
      <c r="BX7" s="13" t="str">
        <f>IFERROR(ROUND(SUM(Table7912[[#This Row],[Annual Stipend]]*(1+$BT$1)^5),0),"")</f>
        <v/>
      </c>
      <c r="BY7" s="13" t="str">
        <f>IFERROR(ROUND(SUM(Table7912[[#This Row],[Year 1 (No Pay Rise)]]*(1+$BZ$1)),0),"")</f>
        <v/>
      </c>
      <c r="BZ7" s="13" t="str">
        <f>IFERROR(ROUND(SUM(Table7912[[#This Row],[With Pay Rise Year 2]]*(1+$BZ$1)),0),"")</f>
        <v/>
      </c>
      <c r="CA7" s="13" t="str">
        <f>IFERROR(ROUND(SUM(Table7912[[#This Row],[With Pay Rise Year 3]]*(1+$BZ$1)),0),"")</f>
        <v/>
      </c>
      <c r="CB7" s="13" t="str">
        <f>IFERROR(ROUND(SUM(Table7912[[#This Row],[With Pay Rise Year 4]]*(1+$BZ$1)),0),"")</f>
        <v/>
      </c>
      <c r="CC7" s="13" t="str">
        <f>IFERROR(ROUND(SUM(Table7912[[#This Row],[With Pay Rise Year 5]]*(1+$BZ$1)),0),"")</f>
        <v/>
      </c>
      <c r="CD7" s="13" t="str">
        <f>IFERROR(ROUND(SUM(Table7912[[#This Row],[With Pay Rise Year 6]]*(1+$BZ$1)),0),"")</f>
        <v/>
      </c>
    </row>
    <row r="8" spans="1:84">
      <c r="A8" t="s">
        <v>251</v>
      </c>
      <c r="B8" s="1">
        <v>93493</v>
      </c>
      <c r="C8" t="s">
        <v>252</v>
      </c>
      <c r="D8" s="1">
        <v>93493</v>
      </c>
      <c r="E8" t="s">
        <v>253</v>
      </c>
      <c r="F8" s="1">
        <v>60276</v>
      </c>
      <c r="J8" t="s">
        <v>254</v>
      </c>
      <c r="K8" t="s">
        <v>255</v>
      </c>
      <c r="L8" t="s">
        <v>256</v>
      </c>
      <c r="M8" t="s">
        <v>257</v>
      </c>
      <c r="O8" t="s">
        <v>254</v>
      </c>
      <c r="P8" s="4">
        <f>$B$28-($B$28*0.1)</f>
        <v>183715.20000000001</v>
      </c>
      <c r="Q8" s="4">
        <f>Staff_min_max[[#This Row],[Min (-10%)]]+(3*((Staff_min_max[[#This Row],[Max (+ 10%)]]-Staff_min_max[[#This Row],[Min (-10%)]])/4))</f>
        <v>214334.4</v>
      </c>
      <c r="R8" s="4">
        <f>$B$28+($B$28*0.1)</f>
        <v>224540.79999999999</v>
      </c>
      <c r="S8" s="2">
        <f>Staff_min_max[[#This Row],[Max (+ 10%)]]</f>
        <v>224540.79999999999</v>
      </c>
      <c r="T8" s="9">
        <f>ROUND((Staff_min_max[[#This Row],[Max (+ 10%)]]*(1+$T$1)^1),0)</f>
        <v>230154</v>
      </c>
      <c r="U8" s="9">
        <f>ROUND((Staff_min_max[[#This Row],[Year 1 (No Pay Rise)]]*(1+$T$1)^2),0)</f>
        <v>235908</v>
      </c>
      <c r="V8" s="9">
        <f>ROUND((Staff_min_max[[#This Row],[Year 1 (No Pay Rise)]]*(1+$T$1)^3),0)</f>
        <v>241806</v>
      </c>
      <c r="W8" s="9">
        <f>ROUND((Staff_min_max[[#This Row],[Year 1 (No Pay Rise)]]*(1+$T$1)^4),0)</f>
        <v>247851</v>
      </c>
      <c r="X8" s="9">
        <f>ROUND(SUM(Staff_min_max[[#This Row],[Year 1 (No Pay Rise)]]*(1+$Y$1)),0)</f>
        <v>291903</v>
      </c>
      <c r="Y8" s="9">
        <f>ROUND(SUM(Staff_min_max[[#This Row],[With Pay Rise Year 2]]*(1+$Y$1)),0)</f>
        <v>299200</v>
      </c>
      <c r="Z8" s="9">
        <f>ROUND(SUM(Staff_min_max[[#This Row],[With Pay Rise Year 3]]*(1+$Y$1)),0)</f>
        <v>306680</v>
      </c>
      <c r="AA8" s="9">
        <f>ROUND(SUM(Staff_min_max[[#This Row],[With Pay Rise Year 4]]*(1+$Y$1)),0)</f>
        <v>314348</v>
      </c>
      <c r="AB8" s="9">
        <f>ROUND(SUM(Staff_min_max[[#This Row],[With Pay Rise Year 5]]*(1+$Y$1)),0)</f>
        <v>322206</v>
      </c>
      <c r="AD8" t="e">
        <f>'Cash Budget - Projects'!#REF!</f>
        <v>#REF!</v>
      </c>
      <c r="AE8" t="e">
        <f>'Cash Budget - Projects'!#REF!</f>
        <v>#REF!</v>
      </c>
      <c r="AF8" t="e">
        <f>'Cash Budget - Projects'!#REF!</f>
        <v>#REF!</v>
      </c>
      <c r="AG8" t="e">
        <f>'Cash Budget - Projects'!#REF!</f>
        <v>#REF!</v>
      </c>
      <c r="AH8" t="e">
        <f>'Cash Budget - Projects'!#REF!</f>
        <v>#REF!</v>
      </c>
      <c r="AI8" s="13" t="e">
        <f>'Cash Budget - Projects'!#REF!</f>
        <v>#REF!</v>
      </c>
      <c r="AJ8" s="13" t="e">
        <f t="shared" si="0"/>
        <v>#REF!</v>
      </c>
      <c r="AK8" s="13" t="str">
        <f>IFERROR(ROUND(SUM(Table7[[#This Row],[Proposed Annual Salary (1 FTE)]]*(1+$AK$1)),0),"")</f>
        <v/>
      </c>
      <c r="AL8" s="13" t="str">
        <f>IFERROR(ROUND(SUM(Table7[[#This Row],[Proposed Annual Salary (1 FTE)]]*(1+$AK$1)^2),0),"")</f>
        <v/>
      </c>
      <c r="AM8" s="13" t="str">
        <f>IFERROR(ROUND(SUM(Table7[[#This Row],[Proposed Annual Salary (1 FTE)]]*(1+$AK$1)^3),0),"")</f>
        <v/>
      </c>
      <c r="AN8" s="13" t="str">
        <f>IFERROR(ROUND(SUM(Table7[[#This Row],[Proposed Annual Salary (1 FTE)]]*(1+$AK$1)^4),0),"")</f>
        <v/>
      </c>
      <c r="AO8" s="13" t="str">
        <f>IFERROR(ROUND(SUM(Table7[[#This Row],[Proposed Annual Salary (1 FTE)]]*(1+$AK$1)^5),0),"")</f>
        <v/>
      </c>
      <c r="AP8" s="13" t="str">
        <f>IFERROR(ROUND(SUM(Table7[[#This Row],[Year 1 (No Pay Rise)]]*(1+$AQ$1)),0),"")</f>
        <v/>
      </c>
      <c r="AQ8" s="13" t="str">
        <f>IFERROR(ROUND(SUM(Table7[[#This Row],[With Pay Rise Year 2]]*(1+$AQ$1)),0),"")</f>
        <v/>
      </c>
      <c r="AR8" s="13" t="str">
        <f>IFERROR(ROUND(SUM(Table7[[#This Row],[With Pay Rise Year 3]]*(1+$AQ$1)),0),"")</f>
        <v/>
      </c>
      <c r="AS8" s="13" t="str">
        <f>IFERROR(ROUND(SUM(Table7[[#This Row],[With Pay Rise Year 4]]*(1+$AQ$1)),0),"")</f>
        <v/>
      </c>
      <c r="AT8" s="13" t="str">
        <f>IFERROR(ROUND(SUM(Table7[[#This Row],[With Pay Rise Year 5]]*(1+$AQ$1)),0),"")</f>
        <v/>
      </c>
      <c r="AU8" s="13" t="str">
        <f>IFERROR(ROUND(SUM(Table7[[#This Row],[With Pay Rise Year 6]]*(1+$AQ$1)),0),"")</f>
        <v/>
      </c>
      <c r="AW8" t="e">
        <f>'In-Kind Contributions'!#REF!</f>
        <v>#REF!</v>
      </c>
      <c r="AX8" t="e">
        <f>'In-Kind Contributions'!#REF!</f>
        <v>#REF!</v>
      </c>
      <c r="AY8" t="e">
        <f>'In-Kind Contributions'!#REF!</f>
        <v>#REF!</v>
      </c>
      <c r="AZ8" t="e">
        <f>'In-Kind Contributions'!#REF!</f>
        <v>#REF!</v>
      </c>
      <c r="BA8" t="e">
        <f>'In-Kind Contributions'!#REF!</f>
        <v>#REF!</v>
      </c>
      <c r="BB8" s="13" t="e">
        <f>'In-Kind Contributions'!#REF!</f>
        <v>#REF!</v>
      </c>
      <c r="BC8" s="13" t="e">
        <f t="shared" si="1"/>
        <v>#REF!</v>
      </c>
      <c r="BD8" s="13" t="str">
        <f>IFERROR(ROUND(SUM(Table79[[#This Row],[Proposed Annual Salary (1 FTE)]]*(1+$BD$1)),0),"")</f>
        <v/>
      </c>
      <c r="BE8" s="13" t="str">
        <f>IFERROR(ROUND(SUM(Table79[[#This Row],[Proposed Annual Salary (1 FTE)]]*(1+$BD$1)^2),0),"")</f>
        <v/>
      </c>
      <c r="BF8" s="13" t="str">
        <f>IFERROR(ROUND(SUM(Table79[[#This Row],[Proposed Annual Salary (1 FTE)]]*(1+$BD$1)^3),0),"")</f>
        <v/>
      </c>
      <c r="BG8" s="13" t="str">
        <f>IFERROR(ROUND(SUM(Table79[[#This Row],[Proposed Annual Salary (1 FTE)]]*(1+$BD$1)^4),0),"")</f>
        <v/>
      </c>
      <c r="BH8" s="13" t="str">
        <f>IFERROR(ROUND(SUM(Table79[[#This Row],[Proposed Annual Salary (1 FTE)]]*(1+$BD$1)^5),0),"")</f>
        <v/>
      </c>
      <c r="BI8" s="13" t="str">
        <f>IFERROR(ROUND(SUM(Table79[[#This Row],[Year 1 (No Pay Rise)]]*(1+$BJ$1)),0),"")</f>
        <v/>
      </c>
      <c r="BJ8" s="13" t="str">
        <f>IFERROR(ROUND(SUM(Table79[[#This Row],[With Pay Rise Year 2]]*(1+$BJ$1)),0),"")</f>
        <v/>
      </c>
      <c r="BK8" s="13" t="str">
        <f>IFERROR(ROUND(SUM(Table79[[#This Row],[With Pay Rise Year 3]]*(1+$BJ$1)),0),"")</f>
        <v/>
      </c>
      <c r="BL8" s="13" t="str">
        <f>IFERROR(ROUND(SUM(Table79[[#This Row],[With Pay Rise Year 4]]*(1+$BJ$1)),0),"")</f>
        <v/>
      </c>
      <c r="BM8" s="13" t="str">
        <f>IFERROR(ROUND(SUM(Table79[[#This Row],[With Pay Rise Year 5]]*(1+$BJ$1)),0),"")</f>
        <v/>
      </c>
      <c r="BN8" s="13" t="str">
        <f>IFERROR(ROUND(SUM(Table79[[#This Row],[With Pay Rise Year 6]]*(1+$BJ$1)),0),"")</f>
        <v/>
      </c>
      <c r="BP8" t="e">
        <f>'Cash Budget - Projects'!#REF!</f>
        <v>#REF!</v>
      </c>
      <c r="BQ8" t="e">
        <f>'Cash Budget - Projects'!#REF!</f>
        <v>#REF!</v>
      </c>
      <c r="BR8" s="13" t="e">
        <f>'Cash Budget - Projects'!#REF!</f>
        <v>#REF!</v>
      </c>
      <c r="BS8" s="13" t="e">
        <f t="shared" si="2"/>
        <v>#REF!</v>
      </c>
      <c r="BT8" s="13" t="str">
        <f>IFERROR(ROUND(SUM(Table7912[[#This Row],[Annual Stipend]]*(1+$BT$1)),0),"")</f>
        <v/>
      </c>
      <c r="BU8" s="13" t="str">
        <f>IFERROR(ROUND(SUM(Table7912[[#This Row],[Annual Stipend]]*(1+$BT$1)^2),0),"")</f>
        <v/>
      </c>
      <c r="BV8" s="13" t="str">
        <f>IFERROR(ROUND(SUM(Table7912[[#This Row],[Annual Stipend]]*(1+$BT$1)^3),0),"")</f>
        <v/>
      </c>
      <c r="BW8" s="13" t="str">
        <f>IFERROR(ROUND(SUM(Table7912[[#This Row],[Annual Stipend]]*(1+$BT$1)^4),0),"")</f>
        <v/>
      </c>
      <c r="BX8" s="13" t="str">
        <f>IFERROR(ROUND(SUM(Table7912[[#This Row],[Annual Stipend]]*(1+$BT$1)^5),0),"")</f>
        <v/>
      </c>
      <c r="BY8" s="13" t="str">
        <f>IFERROR(ROUND(SUM(Table7912[[#This Row],[Year 1 (No Pay Rise)]]*(1+$BZ$1)),0),"")</f>
        <v/>
      </c>
      <c r="BZ8" s="13" t="str">
        <f>IFERROR(ROUND(SUM(Table7912[[#This Row],[With Pay Rise Year 2]]*(1+$BZ$1)),0),"")</f>
        <v/>
      </c>
      <c r="CA8" s="13" t="str">
        <f>IFERROR(ROUND(SUM(Table7912[[#This Row],[With Pay Rise Year 3]]*(1+$BZ$1)),0),"")</f>
        <v/>
      </c>
      <c r="CB8" s="13" t="str">
        <f>IFERROR(ROUND(SUM(Table7912[[#This Row],[With Pay Rise Year 4]]*(1+$BZ$1)),0),"")</f>
        <v/>
      </c>
      <c r="CC8" s="13" t="str">
        <f>IFERROR(ROUND(SUM(Table7912[[#This Row],[With Pay Rise Year 5]]*(1+$BZ$1)),0),"")</f>
        <v/>
      </c>
      <c r="CD8" s="13" t="str">
        <f>IFERROR(ROUND(SUM(Table7912[[#This Row],[With Pay Rise Year 6]]*(1+$BZ$1)),0),"")</f>
        <v/>
      </c>
    </row>
    <row r="9" spans="1:84">
      <c r="A9" t="s">
        <v>258</v>
      </c>
      <c r="B9" s="1">
        <v>96929</v>
      </c>
      <c r="C9" t="s">
        <v>259</v>
      </c>
      <c r="D9" s="1">
        <v>96929</v>
      </c>
      <c r="E9" t="s">
        <v>260</v>
      </c>
      <c r="F9" s="1">
        <v>61736</v>
      </c>
      <c r="K9" t="s">
        <v>261</v>
      </c>
      <c r="L9" t="s">
        <v>262</v>
      </c>
      <c r="M9" t="s">
        <v>263</v>
      </c>
      <c r="O9" t="s">
        <v>227</v>
      </c>
      <c r="P9" s="4">
        <f>D4-(D4*0.1)</f>
        <v>69651</v>
      </c>
      <c r="Q9" s="4">
        <f>Staff_min_max[[#This Row],[Min (-10%)]]+(3*((Staff_min_max[[#This Row],[Max (+ 10%)]]-Staff_min_max[[#This Row],[Min (-10%)]])/4))</f>
        <v>103038.67499999999</v>
      </c>
      <c r="R9" s="4">
        <f>$D$11+($D$11*0.1)</f>
        <v>114167.9</v>
      </c>
      <c r="S9" s="2">
        <f>Staff_min_max[[#This Row],[Max (+ 10%)]]</f>
        <v>114167.9</v>
      </c>
      <c r="T9" s="9">
        <f>ROUND((Staff_min_max[[#This Row],[Max (+ 10%)]]*(1+$T$1)^1),0)</f>
        <v>117022</v>
      </c>
      <c r="U9" s="9">
        <f>ROUND((Staff_min_max[[#This Row],[Year 1 (No Pay Rise)]]*(1+$T$1)^2),0)</f>
        <v>119948</v>
      </c>
      <c r="V9" s="9">
        <f>ROUND((Staff_min_max[[#This Row],[Year 1 (No Pay Rise)]]*(1+$T$1)^3),0)</f>
        <v>122946</v>
      </c>
      <c r="W9" s="9">
        <f>ROUND((Staff_min_max[[#This Row],[Year 1 (No Pay Rise)]]*(1+$T$1)^4),0)</f>
        <v>126020</v>
      </c>
      <c r="X9" s="9">
        <f>ROUND(SUM(Staff_min_max[[#This Row],[Year 1 (No Pay Rise)]]*(1+$Y$1)),0)</f>
        <v>148418</v>
      </c>
      <c r="Y9" s="9">
        <f>ROUND(SUM(Staff_min_max[[#This Row],[With Pay Rise Year 2]]*(1+$Y$1)),0)</f>
        <v>152129</v>
      </c>
      <c r="Z9" s="9">
        <f>ROUND(SUM(Staff_min_max[[#This Row],[With Pay Rise Year 3]]*(1+$Y$1)),0)</f>
        <v>155932</v>
      </c>
      <c r="AA9" s="9">
        <f>ROUND(SUM(Staff_min_max[[#This Row],[With Pay Rise Year 4]]*(1+$Y$1)),0)</f>
        <v>159830</v>
      </c>
      <c r="AB9" s="9">
        <f>ROUND(SUM(Staff_min_max[[#This Row],[With Pay Rise Year 5]]*(1+$Y$1)),0)</f>
        <v>163826</v>
      </c>
      <c r="AD9" t="e">
        <f>'Cash Budget - Projects'!#REF!</f>
        <v>#REF!</v>
      </c>
      <c r="AE9" t="e">
        <f>'Cash Budget - Projects'!#REF!</f>
        <v>#REF!</v>
      </c>
      <c r="AF9" t="e">
        <f>'Cash Budget - Projects'!#REF!</f>
        <v>#REF!</v>
      </c>
      <c r="AG9" t="e">
        <f>'Cash Budget - Projects'!#REF!</f>
        <v>#REF!</v>
      </c>
      <c r="AH9" t="e">
        <f>'Cash Budget - Projects'!#REF!</f>
        <v>#REF!</v>
      </c>
      <c r="AI9" s="13" t="e">
        <f>'Cash Budget - Projects'!#REF!</f>
        <v>#REF!</v>
      </c>
      <c r="AJ9" s="13" t="e">
        <f t="shared" si="0"/>
        <v>#REF!</v>
      </c>
      <c r="AK9" s="13" t="str">
        <f>IFERROR(ROUND(SUM(Table7[[#This Row],[Proposed Annual Salary (1 FTE)]]*(1+$AK$1)),0),"")</f>
        <v/>
      </c>
      <c r="AL9" s="13" t="str">
        <f>IFERROR(ROUND(SUM(Table7[[#This Row],[Proposed Annual Salary (1 FTE)]]*(1+$AK$1)^2),0),"")</f>
        <v/>
      </c>
      <c r="AM9" s="13" t="str">
        <f>IFERROR(ROUND(SUM(Table7[[#This Row],[Proposed Annual Salary (1 FTE)]]*(1+$AK$1)^3),0),"")</f>
        <v/>
      </c>
      <c r="AN9" s="13" t="str">
        <f>IFERROR(ROUND(SUM(Table7[[#This Row],[Proposed Annual Salary (1 FTE)]]*(1+$AK$1)^4),0),"")</f>
        <v/>
      </c>
      <c r="AO9" s="13" t="str">
        <f>IFERROR(ROUND(SUM(Table7[[#This Row],[Proposed Annual Salary (1 FTE)]]*(1+$AK$1)^5),0),"")</f>
        <v/>
      </c>
      <c r="AP9" s="13" t="str">
        <f>IFERROR(ROUND(SUM(Table7[[#This Row],[Year 1 (No Pay Rise)]]*(1+$AQ$1)),0),"")</f>
        <v/>
      </c>
      <c r="AQ9" s="13" t="str">
        <f>IFERROR(ROUND(SUM(Table7[[#This Row],[With Pay Rise Year 2]]*(1+$AQ$1)),0),"")</f>
        <v/>
      </c>
      <c r="AR9" s="13" t="str">
        <f>IFERROR(ROUND(SUM(Table7[[#This Row],[With Pay Rise Year 3]]*(1+$AQ$1)),0),"")</f>
        <v/>
      </c>
      <c r="AS9" s="13" t="str">
        <f>IFERROR(ROUND(SUM(Table7[[#This Row],[With Pay Rise Year 4]]*(1+$AQ$1)),0),"")</f>
        <v/>
      </c>
      <c r="AT9" s="13" t="str">
        <f>IFERROR(ROUND(SUM(Table7[[#This Row],[With Pay Rise Year 5]]*(1+$AQ$1)),0),"")</f>
        <v/>
      </c>
      <c r="AU9" s="13" t="str">
        <f>IFERROR(ROUND(SUM(Table7[[#This Row],[With Pay Rise Year 6]]*(1+$AQ$1)),0),"")</f>
        <v/>
      </c>
      <c r="AW9" t="e">
        <f>'In-Kind Contributions'!#REF!</f>
        <v>#REF!</v>
      </c>
      <c r="AX9" t="e">
        <f>'In-Kind Contributions'!#REF!</f>
        <v>#REF!</v>
      </c>
      <c r="AY9" t="e">
        <f>'In-Kind Contributions'!#REF!</f>
        <v>#REF!</v>
      </c>
      <c r="AZ9" t="e">
        <f>'In-Kind Contributions'!#REF!</f>
        <v>#REF!</v>
      </c>
      <c r="BA9" t="e">
        <f>'In-Kind Contributions'!#REF!</f>
        <v>#REF!</v>
      </c>
      <c r="BB9" s="13" t="e">
        <f>'In-Kind Contributions'!#REF!</f>
        <v>#REF!</v>
      </c>
      <c r="BC9" s="13" t="e">
        <f t="shared" si="1"/>
        <v>#REF!</v>
      </c>
      <c r="BD9" s="13" t="str">
        <f>IFERROR(ROUND(SUM(Table79[[#This Row],[Proposed Annual Salary (1 FTE)]]*(1+$BD$1)),0),"")</f>
        <v/>
      </c>
      <c r="BE9" s="13" t="str">
        <f>IFERROR(ROUND(SUM(Table79[[#This Row],[Proposed Annual Salary (1 FTE)]]*(1+$BD$1)^2),0),"")</f>
        <v/>
      </c>
      <c r="BF9" s="13" t="str">
        <f>IFERROR(ROUND(SUM(Table79[[#This Row],[Proposed Annual Salary (1 FTE)]]*(1+$BD$1)^3),0),"")</f>
        <v/>
      </c>
      <c r="BG9" s="13" t="str">
        <f>IFERROR(ROUND(SUM(Table79[[#This Row],[Proposed Annual Salary (1 FTE)]]*(1+$BD$1)^4),0),"")</f>
        <v/>
      </c>
      <c r="BH9" s="13" t="str">
        <f>IFERROR(ROUND(SUM(Table79[[#This Row],[Proposed Annual Salary (1 FTE)]]*(1+$BD$1)^5),0),"")</f>
        <v/>
      </c>
      <c r="BI9" s="13" t="str">
        <f>IFERROR(ROUND(SUM(Table79[[#This Row],[Year 1 (No Pay Rise)]]*(1+$BJ$1)),0),"")</f>
        <v/>
      </c>
      <c r="BJ9" s="13" t="str">
        <f>IFERROR(ROUND(SUM(Table79[[#This Row],[With Pay Rise Year 2]]*(1+$BJ$1)),0),"")</f>
        <v/>
      </c>
      <c r="BK9" s="13" t="str">
        <f>IFERROR(ROUND(SUM(Table79[[#This Row],[With Pay Rise Year 3]]*(1+$BJ$1)),0),"")</f>
        <v/>
      </c>
      <c r="BL9" s="13" t="str">
        <f>IFERROR(ROUND(SUM(Table79[[#This Row],[With Pay Rise Year 4]]*(1+$BJ$1)),0),"")</f>
        <v/>
      </c>
      <c r="BM9" s="13" t="str">
        <f>IFERROR(ROUND(SUM(Table79[[#This Row],[With Pay Rise Year 5]]*(1+$BJ$1)),0),"")</f>
        <v/>
      </c>
      <c r="BN9" s="13" t="str">
        <f>IFERROR(ROUND(SUM(Table79[[#This Row],[With Pay Rise Year 6]]*(1+$BJ$1)),0),"")</f>
        <v/>
      </c>
      <c r="BP9" t="e">
        <f>'Cash Budget - Projects'!#REF!</f>
        <v>#REF!</v>
      </c>
      <c r="BQ9" t="e">
        <f>'Cash Budget - Projects'!#REF!</f>
        <v>#REF!</v>
      </c>
      <c r="BR9" s="13" t="e">
        <f>'Cash Budget - Projects'!#REF!</f>
        <v>#REF!</v>
      </c>
      <c r="BS9" s="13" t="e">
        <f t="shared" si="2"/>
        <v>#REF!</v>
      </c>
      <c r="BT9" s="13" t="str">
        <f>IFERROR(ROUND(SUM(Table7912[[#This Row],[Annual Stipend]]*(1+$BT$1)),0),"")</f>
        <v/>
      </c>
      <c r="BU9" s="13" t="str">
        <f>IFERROR(ROUND(SUM(Table7912[[#This Row],[Annual Stipend]]*(1+$BT$1)^2),0),"")</f>
        <v/>
      </c>
      <c r="BV9" s="13" t="str">
        <f>IFERROR(ROUND(SUM(Table7912[[#This Row],[Annual Stipend]]*(1+$BT$1)^3),0),"")</f>
        <v/>
      </c>
      <c r="BW9" s="13" t="str">
        <f>IFERROR(ROUND(SUM(Table7912[[#This Row],[Annual Stipend]]*(1+$BT$1)^4),0),"")</f>
        <v/>
      </c>
      <c r="BX9" s="13" t="str">
        <f>IFERROR(ROUND(SUM(Table7912[[#This Row],[Annual Stipend]]*(1+$BT$1)^5),0),"")</f>
        <v/>
      </c>
      <c r="BY9" s="13" t="str">
        <f>IFERROR(ROUND(SUM(Table7912[[#This Row],[Year 1 (No Pay Rise)]]*(1+$BZ$1)),0),"")</f>
        <v/>
      </c>
      <c r="BZ9" s="13" t="str">
        <f>IFERROR(ROUND(SUM(Table7912[[#This Row],[With Pay Rise Year 2]]*(1+$BZ$1)),0),"")</f>
        <v/>
      </c>
      <c r="CA9" s="13" t="str">
        <f>IFERROR(ROUND(SUM(Table7912[[#This Row],[With Pay Rise Year 3]]*(1+$BZ$1)),0),"")</f>
        <v/>
      </c>
      <c r="CB9" s="13" t="str">
        <f>IFERROR(ROUND(SUM(Table7912[[#This Row],[With Pay Rise Year 4]]*(1+$BZ$1)),0),"")</f>
        <v/>
      </c>
      <c r="CC9" s="13" t="str">
        <f>IFERROR(ROUND(SUM(Table7912[[#This Row],[With Pay Rise Year 5]]*(1+$BZ$1)),0),"")</f>
        <v/>
      </c>
      <c r="CD9" s="13" t="str">
        <f>IFERROR(ROUND(SUM(Table7912[[#This Row],[With Pay Rise Year 6]]*(1+$BZ$1)),0),"")</f>
        <v/>
      </c>
    </row>
    <row r="10" spans="1:84">
      <c r="A10" t="s">
        <v>264</v>
      </c>
      <c r="B10" s="1">
        <v>100363</v>
      </c>
      <c r="C10" t="s">
        <v>265</v>
      </c>
      <c r="D10" s="1">
        <v>100363</v>
      </c>
      <c r="E10" t="s">
        <v>266</v>
      </c>
      <c r="F10" s="1">
        <v>62750</v>
      </c>
      <c r="L10" t="s">
        <v>267</v>
      </c>
      <c r="M10" t="s">
        <v>268</v>
      </c>
      <c r="O10" t="s">
        <v>234</v>
      </c>
      <c r="P10" s="4">
        <f>$D$12-($D$12*0.1)</f>
        <v>87236.1</v>
      </c>
      <c r="Q10" s="4">
        <f>Staff_min_max[[#This Row],[Min (-10%)]]+(3*((Staff_min_max[[#This Row],[Max (+ 10%)]]-Staff_min_max[[#This Row],[Min (-10%)]])/4))</f>
        <v>107434.95</v>
      </c>
      <c r="R10" s="4">
        <f>$D$14+($D$14*0.1)</f>
        <v>114167.9</v>
      </c>
      <c r="S10" s="2">
        <f>Staff_min_max[[#This Row],[Max (+ 10%)]]</f>
        <v>114167.9</v>
      </c>
      <c r="T10" s="9">
        <f>ROUND((Staff_min_max[[#This Row],[Max (+ 10%)]]*(1+$T$1)^1),0)</f>
        <v>117022</v>
      </c>
      <c r="U10" s="9">
        <f>ROUND((Staff_min_max[[#This Row],[Year 1 (No Pay Rise)]]*(1+$T$1)^2),0)</f>
        <v>119948</v>
      </c>
      <c r="V10" s="9">
        <f>ROUND((Staff_min_max[[#This Row],[Year 1 (No Pay Rise)]]*(1+$T$1)^3),0)</f>
        <v>122946</v>
      </c>
      <c r="W10" s="9">
        <f>ROUND((Staff_min_max[[#This Row],[Year 1 (No Pay Rise)]]*(1+$T$1)^4),0)</f>
        <v>126020</v>
      </c>
      <c r="X10" s="9">
        <f>ROUND(SUM(Staff_min_max[[#This Row],[Year 1 (No Pay Rise)]]*(1+$Y$1)),0)</f>
        <v>148418</v>
      </c>
      <c r="Y10" s="9">
        <f>ROUND(SUM(Staff_min_max[[#This Row],[With Pay Rise Year 2]]*(1+$Y$1)),0)</f>
        <v>152129</v>
      </c>
      <c r="Z10" s="9">
        <f>ROUND(SUM(Staff_min_max[[#This Row],[With Pay Rise Year 3]]*(1+$Y$1)),0)</f>
        <v>155932</v>
      </c>
      <c r="AA10" s="9">
        <f>ROUND(SUM(Staff_min_max[[#This Row],[With Pay Rise Year 4]]*(1+$Y$1)),0)</f>
        <v>159830</v>
      </c>
      <c r="AB10" s="9">
        <f>ROUND(SUM(Staff_min_max[[#This Row],[With Pay Rise Year 5]]*(1+$Y$1)),0)</f>
        <v>163826</v>
      </c>
      <c r="AI10" s="13"/>
    </row>
    <row r="11" spans="1:84">
      <c r="A11" t="s">
        <v>269</v>
      </c>
      <c r="B11" s="1">
        <v>103789</v>
      </c>
      <c r="C11" t="s">
        <v>270</v>
      </c>
      <c r="D11" s="1">
        <v>103789</v>
      </c>
      <c r="E11" t="s">
        <v>271</v>
      </c>
      <c r="F11" s="1">
        <v>61736</v>
      </c>
      <c r="L11" t="s">
        <v>272</v>
      </c>
      <c r="M11" t="s">
        <v>273</v>
      </c>
      <c r="O11" t="s">
        <v>241</v>
      </c>
      <c r="P11" s="4">
        <f>$D$15-($D$15*0.1)</f>
        <v>98166.6</v>
      </c>
      <c r="Q11" s="4">
        <f>Staff_min_max[[#This Row],[Min (-10%)]]+(3*((Staff_min_max[[#This Row],[Max (+ 10%)]]-Staff_min_max[[#This Row],[Min (-10%)]])/4))</f>
        <v>130865.17500000002</v>
      </c>
      <c r="R11" s="4">
        <f>$D$20+($D$20*0.1)</f>
        <v>141764.70000000001</v>
      </c>
      <c r="S11" s="2">
        <f>Staff_min_max[[#This Row],[Max (+ 10%)]]</f>
        <v>141764.70000000001</v>
      </c>
      <c r="T11" s="9">
        <f>ROUND((Staff_min_max[[#This Row],[Max (+ 10%)]]*(1+$T$1)^1),0)</f>
        <v>145309</v>
      </c>
      <c r="U11" s="9">
        <f>ROUND((Staff_min_max[[#This Row],[Year 1 (No Pay Rise)]]*(1+$T$1)^2),0)</f>
        <v>148942</v>
      </c>
      <c r="V11" s="9">
        <f>ROUND((Staff_min_max[[#This Row],[Year 1 (No Pay Rise)]]*(1+$T$1)^3),0)</f>
        <v>152665</v>
      </c>
      <c r="W11" s="9">
        <f>ROUND((Staff_min_max[[#This Row],[Year 1 (No Pay Rise)]]*(1+$T$1)^4),0)</f>
        <v>156482</v>
      </c>
      <c r="X11" s="9">
        <f>ROUND(SUM(Staff_min_max[[#This Row],[Year 1 (No Pay Rise)]]*(1+$Y$1)),0)</f>
        <v>184294</v>
      </c>
      <c r="Y11" s="9">
        <f>ROUND(SUM(Staff_min_max[[#This Row],[With Pay Rise Year 2]]*(1+$Y$1)),0)</f>
        <v>188902</v>
      </c>
      <c r="Z11" s="9">
        <f>ROUND(SUM(Staff_min_max[[#This Row],[With Pay Rise Year 3]]*(1+$Y$1)),0)</f>
        <v>193625</v>
      </c>
      <c r="AA11" s="9">
        <f>ROUND(SUM(Staff_min_max[[#This Row],[With Pay Rise Year 4]]*(1+$Y$1)),0)</f>
        <v>198465</v>
      </c>
      <c r="AB11" s="9">
        <f>ROUND(SUM(Staff_min_max[[#This Row],[With Pay Rise Year 5]]*(1+$Y$1)),0)</f>
        <v>203427</v>
      </c>
      <c r="AI11" s="13"/>
    </row>
    <row r="12" spans="1:84">
      <c r="A12" t="s">
        <v>274</v>
      </c>
      <c r="B12" s="1">
        <v>109074</v>
      </c>
      <c r="C12" t="s">
        <v>275</v>
      </c>
      <c r="D12" s="1">
        <v>96929</v>
      </c>
      <c r="E12" t="s">
        <v>276</v>
      </c>
      <c r="F12" s="1">
        <v>63914</v>
      </c>
      <c r="L12" t="s">
        <v>277</v>
      </c>
      <c r="M12" t="s">
        <v>278</v>
      </c>
      <c r="O12" t="s">
        <v>248</v>
      </c>
      <c r="P12" s="4">
        <f>$D$21-($D$21*0.1)</f>
        <v>119555.1</v>
      </c>
      <c r="Q12" s="4">
        <f>Staff_min_max[[#This Row],[Min (-10%)]]+(3*((Staff_min_max[[#This Row],[Max (+ 10%)]]-Staff_min_max[[#This Row],[Min (-10%)]])/4))</f>
        <v>155819.25</v>
      </c>
      <c r="R12" s="4">
        <f>$D$26+($D$26*0.1)</f>
        <v>167907.3</v>
      </c>
      <c r="S12" s="2">
        <f>Staff_min_max[[#This Row],[Max (+ 10%)]]</f>
        <v>167907.3</v>
      </c>
      <c r="T12" s="9">
        <f>ROUND((Staff_min_max[[#This Row],[Max (+ 10%)]]*(1+$T$1)^1),0)</f>
        <v>172105</v>
      </c>
      <c r="U12" s="9">
        <f>ROUND((Staff_min_max[[#This Row],[Year 1 (No Pay Rise)]]*(1+$T$1)^2),0)</f>
        <v>176408</v>
      </c>
      <c r="V12" s="9">
        <f>ROUND((Staff_min_max[[#This Row],[Year 1 (No Pay Rise)]]*(1+$T$1)^3),0)</f>
        <v>180818</v>
      </c>
      <c r="W12" s="9">
        <f>ROUND((Staff_min_max[[#This Row],[Year 1 (No Pay Rise)]]*(1+$T$1)^4),0)</f>
        <v>185338</v>
      </c>
      <c r="X12" s="9">
        <f>ROUND(SUM(Staff_min_max[[#This Row],[Year 1 (No Pay Rise)]]*(1+$Y$1)),0)</f>
        <v>218279</v>
      </c>
      <c r="Y12" s="9">
        <f>ROUND(SUM(Staff_min_max[[#This Row],[With Pay Rise Year 2]]*(1+$Y$1)),0)</f>
        <v>223737</v>
      </c>
      <c r="Z12" s="9">
        <f>ROUND(SUM(Staff_min_max[[#This Row],[With Pay Rise Year 3]]*(1+$Y$1)),0)</f>
        <v>229330</v>
      </c>
      <c r="AA12" s="9">
        <f>ROUND(SUM(Staff_min_max[[#This Row],[With Pay Rise Year 4]]*(1+$Y$1)),0)</f>
        <v>235063</v>
      </c>
      <c r="AB12" s="9">
        <f>ROUND(SUM(Staff_min_max[[#This Row],[With Pay Rise Year 5]]*(1+$Y$1)),0)</f>
        <v>240939</v>
      </c>
      <c r="AI12" s="13"/>
    </row>
    <row r="13" spans="1:84">
      <c r="A13" t="s">
        <v>279</v>
      </c>
      <c r="B13" s="1">
        <v>113038</v>
      </c>
      <c r="C13" t="s">
        <v>280</v>
      </c>
      <c r="D13" s="1">
        <v>100363</v>
      </c>
      <c r="E13" t="s">
        <v>281</v>
      </c>
      <c r="F13" s="1">
        <v>66103</v>
      </c>
      <c r="L13" t="s">
        <v>282</v>
      </c>
      <c r="M13" t="s">
        <v>283</v>
      </c>
      <c r="O13" t="s">
        <v>255</v>
      </c>
      <c r="P13" s="4">
        <f>$D$27-($D$27*0.1)</f>
        <v>143316.9</v>
      </c>
      <c r="Q13" s="4">
        <f>Staff_min_max[[#This Row],[Min (-10%)]]+(3*((Staff_min_max[[#This Row],[Max (+ 10%)]]-Staff_min_max[[#This Row],[Min (-10%)]])/4))</f>
        <v>180268.57499999998</v>
      </c>
      <c r="R13" s="4">
        <f>$D$30+($D$30*0.1)</f>
        <v>192585.8</v>
      </c>
      <c r="S13" s="2">
        <f>Staff_min_max[[#This Row],[Max (+ 10%)]]</f>
        <v>192585.8</v>
      </c>
      <c r="T13" s="9">
        <f>ROUND((Staff_min_max[[#This Row],[Max (+ 10%)]]*(1+$T$1)^1),0)</f>
        <v>197400</v>
      </c>
      <c r="U13" s="9">
        <f>ROUND((Staff_min_max[[#This Row],[Year 1 (No Pay Rise)]]*(1+$T$1)^2),0)</f>
        <v>202335</v>
      </c>
      <c r="V13" s="9">
        <f>ROUND((Staff_min_max[[#This Row],[Year 1 (No Pay Rise)]]*(1+$T$1)^3),0)</f>
        <v>207394</v>
      </c>
      <c r="W13" s="9">
        <f>ROUND((Staff_min_max[[#This Row],[Year 1 (No Pay Rise)]]*(1+$T$1)^4),0)</f>
        <v>212579</v>
      </c>
      <c r="X13" s="9">
        <f>ROUND(SUM(Staff_min_max[[#This Row],[Year 1 (No Pay Rise)]]*(1+$Y$1)),0)</f>
        <v>250362</v>
      </c>
      <c r="Y13" s="9">
        <f>ROUND(SUM(Staff_min_max[[#This Row],[With Pay Rise Year 2]]*(1+$Y$1)),0)</f>
        <v>256620</v>
      </c>
      <c r="Z13" s="9">
        <f>ROUND(SUM(Staff_min_max[[#This Row],[With Pay Rise Year 3]]*(1+$Y$1)),0)</f>
        <v>263036</v>
      </c>
      <c r="AA13" s="9">
        <f>ROUND(SUM(Staff_min_max[[#This Row],[With Pay Rise Year 4]]*(1+$Y$1)),0)</f>
        <v>269612</v>
      </c>
      <c r="AB13" s="9">
        <f>ROUND(SUM(Staff_min_max[[#This Row],[With Pay Rise Year 5]]*(1+$Y$1)),0)</f>
        <v>276353</v>
      </c>
      <c r="AI13" s="13"/>
    </row>
    <row r="14" spans="1:84">
      <c r="A14" t="s">
        <v>284</v>
      </c>
      <c r="B14" s="1">
        <v>116992</v>
      </c>
      <c r="C14" t="s">
        <v>285</v>
      </c>
      <c r="D14" s="1">
        <v>103789</v>
      </c>
      <c r="E14" t="s">
        <v>286</v>
      </c>
      <c r="F14" s="1">
        <v>68293</v>
      </c>
      <c r="M14" t="s">
        <v>287</v>
      </c>
      <c r="O14" t="s">
        <v>261</v>
      </c>
      <c r="P14" s="4">
        <f>$D$31-($D$31*0.1)</f>
        <v>183715.20000000001</v>
      </c>
      <c r="Q14" s="4">
        <f>Staff_min_max[[#This Row],[Min (-10%)]]+(3*((Staff_min_max[[#This Row],[Max (+ 10%)]]-Staff_min_max[[#This Row],[Min (-10%)]])/4))</f>
        <v>214334.4</v>
      </c>
      <c r="R14" s="4">
        <f>$D$31+($D$31*0.1)</f>
        <v>224540.79999999999</v>
      </c>
      <c r="S14" s="2">
        <f>Staff_min_max[[#This Row],[Max (+ 10%)]]</f>
        <v>224540.79999999999</v>
      </c>
      <c r="T14" s="9">
        <f>ROUND((Staff_min_max[[#This Row],[Max (+ 10%)]]*(1+$T$1)^1),0)</f>
        <v>230154</v>
      </c>
      <c r="U14" s="9">
        <f>ROUND((Staff_min_max[[#This Row],[Year 1 (No Pay Rise)]]*(1+$T$1)^2),0)</f>
        <v>235908</v>
      </c>
      <c r="V14" s="9">
        <f>ROUND((Staff_min_max[[#This Row],[Year 1 (No Pay Rise)]]*(1+$T$1)^3),0)</f>
        <v>241806</v>
      </c>
      <c r="W14" s="9">
        <f>ROUND((Staff_min_max[[#This Row],[Year 1 (No Pay Rise)]]*(1+$T$1)^4),0)</f>
        <v>247851</v>
      </c>
      <c r="X14" s="9">
        <f>ROUND(SUM(Staff_min_max[[#This Row],[Year 1 (No Pay Rise)]]*(1+$Y$1)),0)</f>
        <v>291903</v>
      </c>
      <c r="Y14" s="9">
        <f>ROUND(SUM(Staff_min_max[[#This Row],[With Pay Rise Year 2]]*(1+$Y$1)),0)</f>
        <v>299200</v>
      </c>
      <c r="Z14" s="9">
        <f>ROUND(SUM(Staff_min_max[[#This Row],[With Pay Rise Year 3]]*(1+$Y$1)),0)</f>
        <v>306680</v>
      </c>
      <c r="AA14" s="9">
        <f>ROUND(SUM(Staff_min_max[[#This Row],[With Pay Rise Year 4]]*(1+$Y$1)),0)</f>
        <v>314348</v>
      </c>
      <c r="AB14" s="9">
        <f>ROUND(SUM(Staff_min_max[[#This Row],[With Pay Rise Year 5]]*(1+$Y$1)),0)</f>
        <v>322206</v>
      </c>
      <c r="AI14" s="13"/>
    </row>
    <row r="15" spans="1:84">
      <c r="A15" t="s">
        <v>288</v>
      </c>
      <c r="B15" s="1">
        <v>120955</v>
      </c>
      <c r="C15" t="s">
        <v>289</v>
      </c>
      <c r="D15" s="1">
        <v>109074</v>
      </c>
      <c r="E15" t="s">
        <v>290</v>
      </c>
      <c r="F15" s="1">
        <v>70746</v>
      </c>
      <c r="M15" t="s">
        <v>291</v>
      </c>
      <c r="O15" t="s">
        <v>228</v>
      </c>
      <c r="P15" s="4">
        <f>$F$4-($F$4*0.1)</f>
        <v>49267.8</v>
      </c>
      <c r="Q15" s="4">
        <f>Staff_min_max[[#This Row],[Min (-10%)]]+(3*((Staff_min_max[[#This Row],[Max (+ 10%)]]-Staff_min_max[[#This Row],[Min (-10%)]])/4))</f>
        <v>59398.05</v>
      </c>
      <c r="R15" s="4">
        <f>$F$6+($F$6*0.1)</f>
        <v>62774.8</v>
      </c>
      <c r="S15" s="2">
        <f>Staff_min_max[[#This Row],[Max (+ 10%)]]</f>
        <v>62774.8</v>
      </c>
      <c r="T15" s="9">
        <f>ROUND((Staff_min_max[[#This Row],[Max (+ 10%)]]*(1+$T$1)^1),0)</f>
        <v>64344</v>
      </c>
      <c r="U15" s="9">
        <f>ROUND((Staff_min_max[[#This Row],[Year 1 (No Pay Rise)]]*(1+$T$1)^2),0)</f>
        <v>65953</v>
      </c>
      <c r="V15" s="9">
        <f>ROUND((Staff_min_max[[#This Row],[Year 1 (No Pay Rise)]]*(1+$T$1)^3),0)</f>
        <v>67602</v>
      </c>
      <c r="W15" s="9">
        <f>ROUND((Staff_min_max[[#This Row],[Year 1 (No Pay Rise)]]*(1+$T$1)^4),0)</f>
        <v>69292</v>
      </c>
      <c r="X15" s="9">
        <f>ROUND(SUM(Staff_min_max[[#This Row],[Year 1 (No Pay Rise)]]*(1+$Y$1)),0)</f>
        <v>81607</v>
      </c>
      <c r="Y15" s="9">
        <f>ROUND(SUM(Staff_min_max[[#This Row],[With Pay Rise Year 2]]*(1+$Y$1)),0)</f>
        <v>83647</v>
      </c>
      <c r="Z15" s="9">
        <f>ROUND(SUM(Staff_min_max[[#This Row],[With Pay Rise Year 3]]*(1+$Y$1)),0)</f>
        <v>85739</v>
      </c>
      <c r="AA15" s="9">
        <f>ROUND(SUM(Staff_min_max[[#This Row],[With Pay Rise Year 4]]*(1+$Y$1)),0)</f>
        <v>87883</v>
      </c>
      <c r="AB15" s="9">
        <f>ROUND(SUM(Staff_min_max[[#This Row],[With Pay Rise Year 5]]*(1+$Y$1)),0)</f>
        <v>90080</v>
      </c>
      <c r="AI15" s="13"/>
    </row>
    <row r="16" spans="1:84">
      <c r="A16" t="s">
        <v>292</v>
      </c>
      <c r="B16" s="2">
        <v>124916</v>
      </c>
      <c r="C16" t="s">
        <v>293</v>
      </c>
      <c r="D16" s="1">
        <v>113038</v>
      </c>
      <c r="E16" t="s">
        <v>294</v>
      </c>
      <c r="F16" s="1">
        <v>71930</v>
      </c>
      <c r="M16" t="s">
        <v>295</v>
      </c>
      <c r="O16" t="s">
        <v>235</v>
      </c>
      <c r="P16" s="4">
        <f>$F$7-($F$7*0.1)</f>
        <v>52937.1</v>
      </c>
      <c r="Q16" s="4">
        <f>Staff_min_max[[#This Row],[Min (-10%)]]+(3*((Staff_min_max[[#This Row],[Max (+ 10%)]]-Staff_min_max[[#This Row],[Min (-10%)]])/4))</f>
        <v>65003.025000000001</v>
      </c>
      <c r="R16" s="4">
        <f>$F$10+($F$10*0.1)</f>
        <v>69025</v>
      </c>
      <c r="S16" s="2">
        <f>Staff_min_max[[#This Row],[Max (+ 10%)]]</f>
        <v>69025</v>
      </c>
      <c r="T16" s="9">
        <f>ROUND((Staff_min_max[[#This Row],[Max (+ 10%)]]*(1+$T$1)^1),0)</f>
        <v>70751</v>
      </c>
      <c r="U16" s="9">
        <f>ROUND((Staff_min_max[[#This Row],[Year 1 (No Pay Rise)]]*(1+$T$1)^2),0)</f>
        <v>72519</v>
      </c>
      <c r="V16" s="9">
        <f>ROUND((Staff_min_max[[#This Row],[Year 1 (No Pay Rise)]]*(1+$T$1)^3),0)</f>
        <v>74332</v>
      </c>
      <c r="W16" s="9">
        <f>ROUND((Staff_min_max[[#This Row],[Year 1 (No Pay Rise)]]*(1+$T$1)^4),0)</f>
        <v>76191</v>
      </c>
      <c r="X16" s="9">
        <f>ROUND(SUM(Staff_min_max[[#This Row],[Year 1 (No Pay Rise)]]*(1+$Y$1)),0)</f>
        <v>89733</v>
      </c>
      <c r="Y16" s="9">
        <f>ROUND(SUM(Staff_min_max[[#This Row],[With Pay Rise Year 2]]*(1+$Y$1)),0)</f>
        <v>91976</v>
      </c>
      <c r="Z16" s="9">
        <f>ROUND(SUM(Staff_min_max[[#This Row],[With Pay Rise Year 3]]*(1+$Y$1)),0)</f>
        <v>94275</v>
      </c>
      <c r="AA16" s="9">
        <f>ROUND(SUM(Staff_min_max[[#This Row],[With Pay Rise Year 4]]*(1+$Y$1)),0)</f>
        <v>96632</v>
      </c>
      <c r="AB16" s="9">
        <f>ROUND(SUM(Staff_min_max[[#This Row],[With Pay Rise Year 5]]*(1+$Y$1)),0)</f>
        <v>99048</v>
      </c>
      <c r="AI16" s="13"/>
    </row>
    <row r="17" spans="1:35">
      <c r="A17" t="s">
        <v>296</v>
      </c>
      <c r="B17" s="2">
        <v>128877</v>
      </c>
      <c r="C17" t="s">
        <v>297</v>
      </c>
      <c r="D17" s="1">
        <v>116992</v>
      </c>
      <c r="E17" t="s">
        <v>298</v>
      </c>
      <c r="F17" s="1">
        <v>70476</v>
      </c>
      <c r="M17" t="s">
        <v>299</v>
      </c>
      <c r="O17" t="s">
        <v>242</v>
      </c>
      <c r="P17" s="4">
        <f>$F$11-($F$11*0.1)</f>
        <v>55562.400000000001</v>
      </c>
      <c r="Q17" s="4">
        <f>Staff_min_max[[#This Row],[Min (-10%)]]+(3*((Staff_min_max[[#This Row],[Max (+ 10%)]]-Staff_min_max[[#This Row],[Min (-10%)]])/4))</f>
        <v>73232.850000000006</v>
      </c>
      <c r="R17" s="4">
        <f>$F$16+($F$16*0.1)</f>
        <v>79123</v>
      </c>
      <c r="S17" s="2">
        <f>Staff_min_max[[#This Row],[Max (+ 10%)]]</f>
        <v>79123</v>
      </c>
      <c r="T17" s="9">
        <f>ROUND((Staff_min_max[[#This Row],[Max (+ 10%)]]*(1+$T$1)^1),0)</f>
        <v>81101</v>
      </c>
      <c r="U17" s="9">
        <f>ROUND((Staff_min_max[[#This Row],[Year 1 (No Pay Rise)]]*(1+$T$1)^2),0)</f>
        <v>83129</v>
      </c>
      <c r="V17" s="9">
        <f>ROUND((Staff_min_max[[#This Row],[Year 1 (No Pay Rise)]]*(1+$T$1)^3),0)</f>
        <v>85207</v>
      </c>
      <c r="W17" s="9">
        <f>ROUND((Staff_min_max[[#This Row],[Year 1 (No Pay Rise)]]*(1+$T$1)^4),0)</f>
        <v>87337</v>
      </c>
      <c r="X17" s="9">
        <f>ROUND(SUM(Staff_min_max[[#This Row],[Year 1 (No Pay Rise)]]*(1+$Y$1)),0)</f>
        <v>102860</v>
      </c>
      <c r="Y17" s="9">
        <f>ROUND(SUM(Staff_min_max[[#This Row],[With Pay Rise Year 2]]*(1+$Y$1)),0)</f>
        <v>105431</v>
      </c>
      <c r="Z17" s="9">
        <f>ROUND(SUM(Staff_min_max[[#This Row],[With Pay Rise Year 3]]*(1+$Y$1)),0)</f>
        <v>108068</v>
      </c>
      <c r="AA17" s="9">
        <f>ROUND(SUM(Staff_min_max[[#This Row],[With Pay Rise Year 4]]*(1+$Y$1)),0)</f>
        <v>110769</v>
      </c>
      <c r="AB17" s="9">
        <f>ROUND(SUM(Staff_min_max[[#This Row],[With Pay Rise Year 5]]*(1+$Y$1)),0)</f>
        <v>113538</v>
      </c>
      <c r="AI17" s="13"/>
    </row>
    <row r="18" spans="1:35">
      <c r="A18" t="s">
        <v>300</v>
      </c>
      <c r="B18" s="2">
        <v>132839</v>
      </c>
      <c r="C18" t="s">
        <v>301</v>
      </c>
      <c r="D18" s="1">
        <v>120955</v>
      </c>
      <c r="E18" t="s">
        <v>302</v>
      </c>
      <c r="F18" s="1">
        <v>71930</v>
      </c>
      <c r="M18" t="s">
        <v>303</v>
      </c>
      <c r="O18" t="s">
        <v>249</v>
      </c>
      <c r="P18" s="4">
        <f>$F$17-($F$17*0.1)</f>
        <v>63428.4</v>
      </c>
      <c r="Q18" s="4">
        <f>Staff_min_max[[#This Row],[Min (-10%)]]+(3*((Staff_min_max[[#This Row],[Max (+ 10%)]]-Staff_min_max[[#This Row],[Min (-10%)]])/4))</f>
        <v>81209.475000000006</v>
      </c>
      <c r="R18" s="4">
        <f>$F$22+($F$22*0.1)</f>
        <v>87136.5</v>
      </c>
      <c r="S18" s="2">
        <f>Staff_min_max[[#This Row],[Max (+ 10%)]]</f>
        <v>87136.5</v>
      </c>
      <c r="T18" s="9">
        <f>ROUND((Staff_min_max[[#This Row],[Max (+ 10%)]]*(1+$T$1)^1),0)</f>
        <v>89315</v>
      </c>
      <c r="U18" s="9">
        <f>ROUND((Staff_min_max[[#This Row],[Year 1 (No Pay Rise)]]*(1+$T$1)^2),0)</f>
        <v>91548</v>
      </c>
      <c r="V18" s="9">
        <f>ROUND((Staff_min_max[[#This Row],[Year 1 (No Pay Rise)]]*(1+$T$1)^3),0)</f>
        <v>93836</v>
      </c>
      <c r="W18" s="9">
        <f>ROUND((Staff_min_max[[#This Row],[Year 1 (No Pay Rise)]]*(1+$T$1)^4),0)</f>
        <v>96182</v>
      </c>
      <c r="X18" s="9">
        <f>ROUND(SUM(Staff_min_max[[#This Row],[Year 1 (No Pay Rise)]]*(1+$Y$1)),0)</f>
        <v>113277</v>
      </c>
      <c r="Y18" s="9">
        <f>ROUND(SUM(Staff_min_max[[#This Row],[With Pay Rise Year 2]]*(1+$Y$1)),0)</f>
        <v>116110</v>
      </c>
      <c r="Z18" s="9">
        <f>ROUND(SUM(Staff_min_max[[#This Row],[With Pay Rise Year 3]]*(1+$Y$1)),0)</f>
        <v>119012</v>
      </c>
      <c r="AA18" s="9">
        <f>ROUND(SUM(Staff_min_max[[#This Row],[With Pay Rise Year 4]]*(1+$Y$1)),0)</f>
        <v>121987</v>
      </c>
      <c r="AB18" s="9">
        <f>ROUND(SUM(Staff_min_max[[#This Row],[With Pay Rise Year 5]]*(1+$Y$1)),0)</f>
        <v>125037</v>
      </c>
      <c r="AI18" s="13"/>
    </row>
    <row r="19" spans="1:35">
      <c r="A19" t="s">
        <v>304</v>
      </c>
      <c r="B19" s="2">
        <v>136798</v>
      </c>
      <c r="C19" t="s">
        <v>305</v>
      </c>
      <c r="D19" s="1">
        <v>124916</v>
      </c>
      <c r="E19" t="s">
        <v>306</v>
      </c>
      <c r="F19" s="1">
        <v>73386</v>
      </c>
      <c r="O19" t="s">
        <v>256</v>
      </c>
      <c r="P19" s="4">
        <f>$F$23-($F$23*0.1)</f>
        <v>68673.600000000006</v>
      </c>
      <c r="Q19" s="4">
        <f>Staff_min_max[[#This Row],[Min (-10%)]]+(3*((Staff_min_max[[#This Row],[Max (+ 10%)]]-Staff_min_max[[#This Row],[Min (-10%)]])/4))</f>
        <v>91536.375</v>
      </c>
      <c r="R19" s="4">
        <f>$F$28+($F$28*0.1)</f>
        <v>99157.3</v>
      </c>
      <c r="S19" s="2">
        <f>Staff_min_max[[#This Row],[Max (+ 10%)]]</f>
        <v>99157.3</v>
      </c>
      <c r="T19" s="9">
        <f>ROUND((Staff_min_max[[#This Row],[Max (+ 10%)]]*(1+$T$1)^1),0)</f>
        <v>101636</v>
      </c>
      <c r="U19" s="9">
        <f>ROUND((Staff_min_max[[#This Row],[Year 1 (No Pay Rise)]]*(1+$T$1)^2),0)</f>
        <v>104177</v>
      </c>
      <c r="V19" s="9">
        <f>ROUND((Staff_min_max[[#This Row],[Year 1 (No Pay Rise)]]*(1+$T$1)^3),0)</f>
        <v>106782</v>
      </c>
      <c r="W19" s="9">
        <f>ROUND((Staff_min_max[[#This Row],[Year 1 (No Pay Rise)]]*(1+$T$1)^4),0)</f>
        <v>109451</v>
      </c>
      <c r="X19" s="9">
        <f>ROUND(SUM(Staff_min_max[[#This Row],[Year 1 (No Pay Rise)]]*(1+$Y$1)),0)</f>
        <v>128904</v>
      </c>
      <c r="Y19" s="9">
        <f>ROUND(SUM(Staff_min_max[[#This Row],[With Pay Rise Year 2]]*(1+$Y$1)),0)</f>
        <v>132127</v>
      </c>
      <c r="Z19" s="9">
        <f>ROUND(SUM(Staff_min_max[[#This Row],[With Pay Rise Year 3]]*(1+$Y$1)),0)</f>
        <v>135430</v>
      </c>
      <c r="AA19" s="9">
        <f>ROUND(SUM(Staff_min_max[[#This Row],[With Pay Rise Year 4]]*(1+$Y$1)),0)</f>
        <v>138817</v>
      </c>
      <c r="AB19" s="9">
        <f>ROUND(SUM(Staff_min_max[[#This Row],[With Pay Rise Year 5]]*(1+$Y$1)),0)</f>
        <v>142286</v>
      </c>
      <c r="AI19" s="13"/>
    </row>
    <row r="20" spans="1:35">
      <c r="A20" t="s">
        <v>307</v>
      </c>
      <c r="B20" s="2">
        <v>140758</v>
      </c>
      <c r="C20" t="s">
        <v>308</v>
      </c>
      <c r="D20" s="1">
        <v>128877</v>
      </c>
      <c r="E20" t="s">
        <v>309</v>
      </c>
      <c r="F20" s="1">
        <v>74845</v>
      </c>
      <c r="O20" t="s">
        <v>262</v>
      </c>
      <c r="P20" s="4">
        <f>$F$29-($F$29*0.1)</f>
        <v>79159.5</v>
      </c>
      <c r="Q20" s="4">
        <f>Staff_min_max[[#This Row],[Min (-10%)]]+(3*((Staff_min_max[[#This Row],[Max (+ 10%)]]-Staff_min_max[[#This Row],[Min (-10%)]])/4))</f>
        <v>99564.075000000012</v>
      </c>
      <c r="R20" s="4">
        <f>$F$33+($F$33*0.1)</f>
        <v>106365.6</v>
      </c>
      <c r="S20" s="2">
        <f>Staff_min_max[[#This Row],[Max (+ 10%)]]</f>
        <v>106365.6</v>
      </c>
      <c r="T20" s="9">
        <f>ROUND((Staff_min_max[[#This Row],[Max (+ 10%)]]*(1+$T$1)^1),0)</f>
        <v>109025</v>
      </c>
      <c r="U20" s="9">
        <f>ROUND((Staff_min_max[[#This Row],[Year 1 (No Pay Rise)]]*(1+$T$1)^2),0)</f>
        <v>111750</v>
      </c>
      <c r="V20" s="9">
        <f>ROUND((Staff_min_max[[#This Row],[Year 1 (No Pay Rise)]]*(1+$T$1)^3),0)</f>
        <v>114544</v>
      </c>
      <c r="W20" s="9">
        <f>ROUND((Staff_min_max[[#This Row],[Year 1 (No Pay Rise)]]*(1+$T$1)^4),0)</f>
        <v>117408</v>
      </c>
      <c r="X20" s="9">
        <f>ROUND(SUM(Staff_min_max[[#This Row],[Year 1 (No Pay Rise)]]*(1+$Y$1)),0)</f>
        <v>138275</v>
      </c>
      <c r="Y20" s="9">
        <f>ROUND(SUM(Staff_min_max[[#This Row],[With Pay Rise Year 2]]*(1+$Y$1)),0)</f>
        <v>141733</v>
      </c>
      <c r="Z20" s="9">
        <f>ROUND(SUM(Staff_min_max[[#This Row],[With Pay Rise Year 3]]*(1+$Y$1)),0)</f>
        <v>145275</v>
      </c>
      <c r="AA20" s="9">
        <f>ROUND(SUM(Staff_min_max[[#This Row],[With Pay Rise Year 4]]*(1+$Y$1)),0)</f>
        <v>148907</v>
      </c>
      <c r="AB20" s="9">
        <f>ROUND(SUM(Staff_min_max[[#This Row],[With Pay Rise Year 5]]*(1+$Y$1)),0)</f>
        <v>152630</v>
      </c>
      <c r="AI20" s="13"/>
    </row>
    <row r="21" spans="1:35">
      <c r="A21" t="s">
        <v>310</v>
      </c>
      <c r="B21" s="2">
        <v>144722</v>
      </c>
      <c r="C21" t="s">
        <v>311</v>
      </c>
      <c r="D21" s="1">
        <v>132839</v>
      </c>
      <c r="E21" t="s">
        <v>312</v>
      </c>
      <c r="F21" s="1">
        <v>76304</v>
      </c>
      <c r="O21" t="s">
        <v>267</v>
      </c>
      <c r="P21" s="4">
        <f>$F$34-($F$34*0.1)</f>
        <v>87026.4</v>
      </c>
      <c r="Q21" s="4">
        <f>Staff_min_max[[#This Row],[Min (-10%)]]+(3*((Staff_min_max[[#This Row],[Max (+ 10%)]]-Staff_min_max[[#This Row],[Min (-10%)]])/4))</f>
        <v>111146.175</v>
      </c>
      <c r="R21" s="4">
        <f>$F$38+($F$38*0.1)</f>
        <v>119186.1</v>
      </c>
      <c r="S21" s="2">
        <f>Staff_min_max[[#This Row],[Max (+ 10%)]]</f>
        <v>119186.1</v>
      </c>
      <c r="T21" s="9">
        <f>ROUND((Staff_min_max[[#This Row],[Max (+ 10%)]]*(1+$T$1)^1),0)</f>
        <v>122166</v>
      </c>
      <c r="U21" s="9">
        <f>ROUND((Staff_min_max[[#This Row],[Year 1 (No Pay Rise)]]*(1+$T$1)^2),0)</f>
        <v>125220</v>
      </c>
      <c r="V21" s="9">
        <f>ROUND((Staff_min_max[[#This Row],[Year 1 (No Pay Rise)]]*(1+$T$1)^3),0)</f>
        <v>128350</v>
      </c>
      <c r="W21" s="9">
        <f>ROUND((Staff_min_max[[#This Row],[Year 1 (No Pay Rise)]]*(1+$T$1)^4),0)</f>
        <v>131559</v>
      </c>
      <c r="X21" s="9">
        <f>ROUND(SUM(Staff_min_max[[#This Row],[Year 1 (No Pay Rise)]]*(1+$Y$1)),0)</f>
        <v>154942</v>
      </c>
      <c r="Y21" s="9">
        <f>ROUND(SUM(Staff_min_max[[#This Row],[With Pay Rise Year 2]]*(1+$Y$1)),0)</f>
        <v>158816</v>
      </c>
      <c r="Z21" s="9">
        <f>ROUND(SUM(Staff_min_max[[#This Row],[With Pay Rise Year 3]]*(1+$Y$1)),0)</f>
        <v>162786</v>
      </c>
      <c r="AA21" s="9">
        <f>ROUND(SUM(Staff_min_max[[#This Row],[With Pay Rise Year 4]]*(1+$Y$1)),0)</f>
        <v>166855</v>
      </c>
      <c r="AB21" s="9">
        <f>ROUND(SUM(Staff_min_max[[#This Row],[With Pay Rise Year 5]]*(1+$Y$1)),0)</f>
        <v>171027</v>
      </c>
      <c r="AI21" s="13"/>
    </row>
    <row r="22" spans="1:35">
      <c r="A22" t="s">
        <v>313</v>
      </c>
      <c r="B22" s="2">
        <v>148671</v>
      </c>
      <c r="C22" t="s">
        <v>314</v>
      </c>
      <c r="D22" s="1">
        <v>136798</v>
      </c>
      <c r="E22" t="s">
        <v>315</v>
      </c>
      <c r="F22" s="1">
        <v>79215</v>
      </c>
      <c r="O22" t="s">
        <v>272</v>
      </c>
      <c r="P22" s="4">
        <f>$F$39-($F$39*0.1)</f>
        <v>97515.9</v>
      </c>
      <c r="Q22" s="4">
        <f>Staff_min_max[[#This Row],[Min (-10%)]]+(3*((Staff_min_max[[#This Row],[Max (+ 10%)]]-Staff_min_max[[#This Row],[Min (-10%)]])/4))</f>
        <v>125066.925</v>
      </c>
      <c r="R22" s="4">
        <f>$F$42+($F$42*0.1)</f>
        <v>134250.6</v>
      </c>
      <c r="S22" s="2">
        <f>Staff_min_max[[#This Row],[Max (+ 10%)]]</f>
        <v>134250.6</v>
      </c>
      <c r="T22" s="9">
        <f>ROUND((Staff_min_max[[#This Row],[Max (+ 10%)]]*(1+$T$1)^1),0)</f>
        <v>137607</v>
      </c>
      <c r="U22" s="9">
        <f>ROUND((Staff_min_max[[#This Row],[Year 1 (No Pay Rise)]]*(1+$T$1)^2),0)</f>
        <v>141047</v>
      </c>
      <c r="V22" s="9">
        <f>ROUND((Staff_min_max[[#This Row],[Year 1 (No Pay Rise)]]*(1+$T$1)^3),0)</f>
        <v>144573</v>
      </c>
      <c r="W22" s="9">
        <f>ROUND((Staff_min_max[[#This Row],[Year 1 (No Pay Rise)]]*(1+$T$1)^4),0)</f>
        <v>148188</v>
      </c>
      <c r="X22" s="9">
        <f>ROUND(SUM(Staff_min_max[[#This Row],[Year 1 (No Pay Rise)]]*(1+$Y$1)),0)</f>
        <v>174526</v>
      </c>
      <c r="Y22" s="9">
        <f>ROUND(SUM(Staff_min_max[[#This Row],[With Pay Rise Year 2]]*(1+$Y$1)),0)</f>
        <v>178889</v>
      </c>
      <c r="Z22" s="9">
        <f>ROUND(SUM(Staff_min_max[[#This Row],[With Pay Rise Year 3]]*(1+$Y$1)),0)</f>
        <v>183361</v>
      </c>
      <c r="AA22" s="9">
        <f>ROUND(SUM(Staff_min_max[[#This Row],[With Pay Rise Year 4]]*(1+$Y$1)),0)</f>
        <v>187945</v>
      </c>
      <c r="AB22" s="9">
        <f>ROUND(SUM(Staff_min_max[[#This Row],[With Pay Rise Year 5]]*(1+$Y$1)),0)</f>
        <v>192644</v>
      </c>
      <c r="AI22" s="13"/>
    </row>
    <row r="23" spans="1:35">
      <c r="A23" t="s">
        <v>316</v>
      </c>
      <c r="B23" s="2">
        <v>152643</v>
      </c>
      <c r="C23" t="s">
        <v>317</v>
      </c>
      <c r="D23" s="1">
        <v>140758</v>
      </c>
      <c r="E23" t="s">
        <v>318</v>
      </c>
      <c r="F23" s="1">
        <v>76304</v>
      </c>
      <c r="O23" t="s">
        <v>277</v>
      </c>
      <c r="P23" s="4">
        <f>$F$43-($F$43*0.1)</f>
        <v>115346.7</v>
      </c>
      <c r="Q23" s="4">
        <f>Staff_min_max[[#This Row],[Min (-10%)]]+(3*((Staff_min_max[[#This Row],[Max (+ 10%)]]-Staff_min_max[[#This Row],[Min (-10%)]])/4))</f>
        <v>138173.1</v>
      </c>
      <c r="R23" s="4">
        <f>$F$45+($F$45*0.1)</f>
        <v>145781.9</v>
      </c>
      <c r="S23" s="2">
        <f>Staff_min_max[[#This Row],[Max (+ 10%)]]</f>
        <v>145781.9</v>
      </c>
      <c r="T23" s="9">
        <f>ROUND((Staff_min_max[[#This Row],[Max (+ 10%)]]*(1+$T$1)^1),0)</f>
        <v>149426</v>
      </c>
      <c r="U23" s="9">
        <f>ROUND((Staff_min_max[[#This Row],[Year 1 (No Pay Rise)]]*(1+$T$1)^2),0)</f>
        <v>153162</v>
      </c>
      <c r="V23" s="9">
        <f>ROUND((Staff_min_max[[#This Row],[Year 1 (No Pay Rise)]]*(1+$T$1)^3),0)</f>
        <v>156991</v>
      </c>
      <c r="W23" s="9">
        <f>ROUND((Staff_min_max[[#This Row],[Year 1 (No Pay Rise)]]*(1+$T$1)^4),0)</f>
        <v>160916</v>
      </c>
      <c r="X23" s="9">
        <f>ROUND(SUM(Staff_min_max[[#This Row],[Year 1 (No Pay Rise)]]*(1+$Y$1)),0)</f>
        <v>189516</v>
      </c>
      <c r="Y23" s="9">
        <f>ROUND(SUM(Staff_min_max[[#This Row],[With Pay Rise Year 2]]*(1+$Y$1)),0)</f>
        <v>194254</v>
      </c>
      <c r="Z23" s="9">
        <f>ROUND(SUM(Staff_min_max[[#This Row],[With Pay Rise Year 3]]*(1+$Y$1)),0)</f>
        <v>199111</v>
      </c>
      <c r="AA23" s="9">
        <f>ROUND(SUM(Staff_min_max[[#This Row],[With Pay Rise Year 4]]*(1+$Y$1)),0)</f>
        <v>204088</v>
      </c>
      <c r="AB23" s="9">
        <f>ROUND(SUM(Staff_min_max[[#This Row],[With Pay Rise Year 5]]*(1+$Y$1)),0)</f>
        <v>209191</v>
      </c>
      <c r="AI23" s="13"/>
    </row>
    <row r="24" spans="1:35">
      <c r="A24" t="s">
        <v>319</v>
      </c>
      <c r="B24" s="2">
        <v>159241</v>
      </c>
      <c r="C24" t="s">
        <v>320</v>
      </c>
      <c r="D24" s="1">
        <v>144722</v>
      </c>
      <c r="E24" t="s">
        <v>321</v>
      </c>
      <c r="F24" s="1">
        <v>79215</v>
      </c>
      <c r="O24" t="s">
        <v>282</v>
      </c>
      <c r="P24" s="4">
        <f>$F$46-($F$46*0.1)</f>
        <v>119493.9</v>
      </c>
      <c r="Q24" s="4">
        <f>Staff_min_max[[#This Row],[Min (-10%)]]+(3*((Staff_min_max[[#This Row],[Max (+ 10%)]]-Staff_min_max[[#This Row],[Min (-10%)]])/4))</f>
        <v>139409.54999999999</v>
      </c>
      <c r="R24" s="4">
        <f>$F$46+($F$46*0.1)</f>
        <v>146048.1</v>
      </c>
      <c r="S24" s="2">
        <f>Staff_min_max[[#This Row],[Max (+ 10%)]]</f>
        <v>146048.1</v>
      </c>
      <c r="T24" s="9">
        <f>ROUND((Staff_min_max[[#This Row],[Max (+ 10%)]]*(1+$T$1)^1),0)</f>
        <v>149699</v>
      </c>
      <c r="U24" s="9">
        <f>ROUND((Staff_min_max[[#This Row],[Year 1 (No Pay Rise)]]*(1+$T$1)^2),0)</f>
        <v>153442</v>
      </c>
      <c r="V24" s="9">
        <f>ROUND((Staff_min_max[[#This Row],[Year 1 (No Pay Rise)]]*(1+$T$1)^3),0)</f>
        <v>157278</v>
      </c>
      <c r="W24" s="9">
        <f>ROUND((Staff_min_max[[#This Row],[Year 1 (No Pay Rise)]]*(1+$T$1)^4),0)</f>
        <v>161210</v>
      </c>
      <c r="X24" s="9">
        <f>ROUND(SUM(Staff_min_max[[#This Row],[Year 1 (No Pay Rise)]]*(1+$Y$1)),0)</f>
        <v>189863</v>
      </c>
      <c r="Y24" s="9">
        <f>ROUND(SUM(Staff_min_max[[#This Row],[With Pay Rise Year 2]]*(1+$Y$1)),0)</f>
        <v>194609</v>
      </c>
      <c r="Z24" s="9">
        <f>ROUND(SUM(Staff_min_max[[#This Row],[With Pay Rise Year 3]]*(1+$Y$1)),0)</f>
        <v>199475</v>
      </c>
      <c r="AA24" s="9">
        <f>ROUND(SUM(Staff_min_max[[#This Row],[With Pay Rise Year 4]]*(1+$Y$1)),0)</f>
        <v>204461</v>
      </c>
      <c r="AB24" s="9">
        <f>ROUND(SUM(Staff_min_max[[#This Row],[With Pay Rise Year 5]]*(1+$Y$1)),0)</f>
        <v>209573</v>
      </c>
      <c r="AI24" s="13"/>
    </row>
    <row r="25" spans="1:35">
      <c r="A25" t="s">
        <v>322</v>
      </c>
      <c r="B25" s="2">
        <v>164518</v>
      </c>
      <c r="C25" t="s">
        <v>323</v>
      </c>
      <c r="D25" s="1">
        <v>148671</v>
      </c>
      <c r="E25" t="s">
        <v>324</v>
      </c>
      <c r="F25" s="1">
        <v>82129</v>
      </c>
      <c r="O25" t="s">
        <v>229</v>
      </c>
      <c r="P25" s="4">
        <f>$F$4-($F$4*0.1)</f>
        <v>49267.8</v>
      </c>
      <c r="Q25" s="4">
        <f>Staff_min_max[[#This Row],[Min (-10%)]]+(3*((Staff_min_max[[#This Row],[Max (+ 10%)]]-Staff_min_max[[#This Row],[Min (-10%)]])/4))</f>
        <v>59398.05</v>
      </c>
      <c r="R25" s="4">
        <f>$F$6+($F$6*0.1)</f>
        <v>62774.8</v>
      </c>
      <c r="S25" s="2">
        <f>Staff_min_max[[#This Row],[Max (+ 10%)]]</f>
        <v>62774.8</v>
      </c>
      <c r="T25" s="9">
        <f>ROUND((Staff_min_max[[#This Row],[Max (+ 10%)]]*(1+$T$1)^1),0)</f>
        <v>64344</v>
      </c>
      <c r="U25" s="9">
        <f>ROUND((Staff_min_max[[#This Row],[Year 1 (No Pay Rise)]]*(1+$T$1)^2),0)</f>
        <v>65953</v>
      </c>
      <c r="V25" s="9">
        <f>ROUND((Staff_min_max[[#This Row],[Year 1 (No Pay Rise)]]*(1+$T$1)^3),0)</f>
        <v>67602</v>
      </c>
      <c r="W25" s="9">
        <f>ROUND((Staff_min_max[[#This Row],[Year 1 (No Pay Rise)]]*(1+$T$1)^4),0)</f>
        <v>69292</v>
      </c>
      <c r="X25" s="9">
        <f>ROUND(SUM(Staff_min_max[[#This Row],[Year 1 (No Pay Rise)]]*(1+$Y$1)),0)</f>
        <v>81607</v>
      </c>
      <c r="Y25" s="9">
        <f>ROUND(SUM(Staff_min_max[[#This Row],[With Pay Rise Year 2]]*(1+$Y$1)),0)</f>
        <v>83647</v>
      </c>
      <c r="Z25" s="9">
        <f>ROUND(SUM(Staff_min_max[[#This Row],[With Pay Rise Year 3]]*(1+$Y$1)),0)</f>
        <v>85739</v>
      </c>
      <c r="AA25" s="9">
        <f>ROUND(SUM(Staff_min_max[[#This Row],[With Pay Rise Year 4]]*(1+$Y$1)),0)</f>
        <v>87883</v>
      </c>
      <c r="AB25" s="9">
        <f>ROUND(SUM(Staff_min_max[[#This Row],[With Pay Rise Year 5]]*(1+$Y$1)),0)</f>
        <v>90080</v>
      </c>
    </row>
    <row r="26" spans="1:35">
      <c r="A26" t="s">
        <v>325</v>
      </c>
      <c r="B26" s="2">
        <v>169798</v>
      </c>
      <c r="C26" t="s">
        <v>326</v>
      </c>
      <c r="D26" s="1">
        <v>152643</v>
      </c>
      <c r="E26" t="s">
        <v>327</v>
      </c>
      <c r="F26" s="1">
        <v>85039</v>
      </c>
      <c r="O26" t="s">
        <v>236</v>
      </c>
      <c r="P26" s="4">
        <f>$F$7-($F$7*0.1)</f>
        <v>52937.1</v>
      </c>
      <c r="Q26" s="4">
        <f>Staff_min_max[[#This Row],[Min (-10%)]]+(3*((Staff_min_max[[#This Row],[Max (+ 10%)]]-Staff_min_max[[#This Row],[Min (-10%)]])/4))</f>
        <v>65003.025000000001</v>
      </c>
      <c r="R26" s="4">
        <f>$F$10+($F$10*0.1)</f>
        <v>69025</v>
      </c>
      <c r="S26" s="2">
        <f>Staff_min_max[[#This Row],[Max (+ 10%)]]</f>
        <v>69025</v>
      </c>
      <c r="T26" s="9">
        <f>ROUND((Staff_min_max[[#This Row],[Max (+ 10%)]]*(1+$T$1)^1),0)</f>
        <v>70751</v>
      </c>
      <c r="U26" s="9">
        <f>ROUND((Staff_min_max[[#This Row],[Year 1 (No Pay Rise)]]*(1+$T$1)^2),0)</f>
        <v>72519</v>
      </c>
      <c r="V26" s="9">
        <f>ROUND((Staff_min_max[[#This Row],[Year 1 (No Pay Rise)]]*(1+$T$1)^3),0)</f>
        <v>74332</v>
      </c>
      <c r="W26" s="9">
        <f>ROUND((Staff_min_max[[#This Row],[Year 1 (No Pay Rise)]]*(1+$T$1)^4),0)</f>
        <v>76191</v>
      </c>
      <c r="X26" s="9">
        <f>ROUND(SUM(Staff_min_max[[#This Row],[Year 1 (No Pay Rise)]]*(1+$Y$1)),0)</f>
        <v>89733</v>
      </c>
      <c r="Y26" s="9">
        <f>ROUND(SUM(Staff_min_max[[#This Row],[With Pay Rise Year 2]]*(1+$Y$1)),0)</f>
        <v>91976</v>
      </c>
      <c r="Z26" s="9">
        <f>ROUND(SUM(Staff_min_max[[#This Row],[With Pay Rise Year 3]]*(1+$Y$1)),0)</f>
        <v>94275</v>
      </c>
      <c r="AA26" s="9">
        <f>ROUND(SUM(Staff_min_max[[#This Row],[With Pay Rise Year 4]]*(1+$Y$1)),0)</f>
        <v>96632</v>
      </c>
      <c r="AB26" s="9">
        <f>ROUND(SUM(Staff_min_max[[#This Row],[With Pay Rise Year 5]]*(1+$Y$1)),0)</f>
        <v>99048</v>
      </c>
    </row>
    <row r="27" spans="1:35">
      <c r="A27" t="s">
        <v>328</v>
      </c>
      <c r="B27" s="2">
        <v>175078</v>
      </c>
      <c r="C27" t="s">
        <v>329</v>
      </c>
      <c r="D27" s="1">
        <v>159241</v>
      </c>
      <c r="E27" t="s">
        <v>330</v>
      </c>
      <c r="F27" s="1">
        <v>87955</v>
      </c>
      <c r="O27" t="s">
        <v>243</v>
      </c>
      <c r="P27" s="4">
        <f>$F$11-($F$11*0.1)</f>
        <v>55562.400000000001</v>
      </c>
      <c r="Q27" s="4">
        <f>Staff_min_max[[#This Row],[Min (-10%)]]+(3*((Staff_min_max[[#This Row],[Max (+ 10%)]]-Staff_min_max[[#This Row],[Min (-10%)]])/4))</f>
        <v>73232.850000000006</v>
      </c>
      <c r="R27" s="4">
        <f>$F$16+($F$16*0.1)</f>
        <v>79123</v>
      </c>
      <c r="S27" s="2">
        <f>Staff_min_max[[#This Row],[Max (+ 10%)]]</f>
        <v>79123</v>
      </c>
      <c r="T27" s="9">
        <f>ROUND((Staff_min_max[[#This Row],[Max (+ 10%)]]*(1+$T$1)^1),0)</f>
        <v>81101</v>
      </c>
      <c r="U27" s="9">
        <f>ROUND((Staff_min_max[[#This Row],[Year 1 (No Pay Rise)]]*(1+$T$1)^2),0)</f>
        <v>83129</v>
      </c>
      <c r="V27" s="9">
        <f>ROUND((Staff_min_max[[#This Row],[Year 1 (No Pay Rise)]]*(1+$T$1)^3),0)</f>
        <v>85207</v>
      </c>
      <c r="W27" s="9">
        <f>ROUND((Staff_min_max[[#This Row],[Year 1 (No Pay Rise)]]*(1+$T$1)^4),0)</f>
        <v>87337</v>
      </c>
      <c r="X27" s="9">
        <f>ROUND(SUM(Staff_min_max[[#This Row],[Year 1 (No Pay Rise)]]*(1+$Y$1)),0)</f>
        <v>102860</v>
      </c>
      <c r="Y27" s="9">
        <f>ROUND(SUM(Staff_min_max[[#This Row],[With Pay Rise Year 2]]*(1+$Y$1)),0)</f>
        <v>105431</v>
      </c>
      <c r="Z27" s="9">
        <f>ROUND(SUM(Staff_min_max[[#This Row],[With Pay Rise Year 3]]*(1+$Y$1)),0)</f>
        <v>108068</v>
      </c>
      <c r="AA27" s="9">
        <f>ROUND(SUM(Staff_min_max[[#This Row],[With Pay Rise Year 4]]*(1+$Y$1)),0)</f>
        <v>110769</v>
      </c>
      <c r="AB27" s="9">
        <f>ROUND(SUM(Staff_min_max[[#This Row],[With Pay Rise Year 5]]*(1+$Y$1)),0)</f>
        <v>113538</v>
      </c>
    </row>
    <row r="28" spans="1:35">
      <c r="A28" t="s">
        <v>331</v>
      </c>
      <c r="B28" s="2">
        <v>204128</v>
      </c>
      <c r="C28" t="s">
        <v>332</v>
      </c>
      <c r="D28" s="1">
        <v>164518</v>
      </c>
      <c r="E28" t="s">
        <v>333</v>
      </c>
      <c r="F28" s="1">
        <v>90143</v>
      </c>
      <c r="O28" t="s">
        <v>250</v>
      </c>
      <c r="P28" s="4">
        <f>$F$17-($F$17*0.1)</f>
        <v>63428.4</v>
      </c>
      <c r="Q28" s="4">
        <f>Staff_min_max[[#This Row],[Min (-10%)]]+(3*((Staff_min_max[[#This Row],[Max (+ 10%)]]-Staff_min_max[[#This Row],[Min (-10%)]])/4))</f>
        <v>81209.475000000006</v>
      </c>
      <c r="R28" s="4">
        <f>$F$22+($F$22*0.1)</f>
        <v>87136.5</v>
      </c>
      <c r="S28" s="2">
        <f>Staff_min_max[[#This Row],[Max (+ 10%)]]</f>
        <v>87136.5</v>
      </c>
      <c r="T28" s="9">
        <f>ROUND((Staff_min_max[[#This Row],[Max (+ 10%)]]*(1+$T$1)^1),0)</f>
        <v>89315</v>
      </c>
      <c r="U28" s="9">
        <f>ROUND((Staff_min_max[[#This Row],[Year 1 (No Pay Rise)]]*(1+$T$1)^2),0)</f>
        <v>91548</v>
      </c>
      <c r="V28" s="9">
        <f>ROUND((Staff_min_max[[#This Row],[Year 1 (No Pay Rise)]]*(1+$T$1)^3),0)</f>
        <v>93836</v>
      </c>
      <c r="W28" s="9">
        <f>ROUND((Staff_min_max[[#This Row],[Year 1 (No Pay Rise)]]*(1+$T$1)^4),0)</f>
        <v>96182</v>
      </c>
      <c r="X28" s="9">
        <f>ROUND(SUM(Staff_min_max[[#This Row],[Year 1 (No Pay Rise)]]*(1+$Y$1)),0)</f>
        <v>113277</v>
      </c>
      <c r="Y28" s="9">
        <f>ROUND(SUM(Staff_min_max[[#This Row],[With Pay Rise Year 2]]*(1+$Y$1)),0)</f>
        <v>116110</v>
      </c>
      <c r="Z28" s="9">
        <f>ROUND(SUM(Staff_min_max[[#This Row],[With Pay Rise Year 3]]*(1+$Y$1)),0)</f>
        <v>119012</v>
      </c>
      <c r="AA28" s="9">
        <f>ROUND(SUM(Staff_min_max[[#This Row],[With Pay Rise Year 4]]*(1+$Y$1)),0)</f>
        <v>121987</v>
      </c>
      <c r="AB28" s="9">
        <f>ROUND(SUM(Staff_min_max[[#This Row],[With Pay Rise Year 5]]*(1+$Y$1)),0)</f>
        <v>125037</v>
      </c>
    </row>
    <row r="29" spans="1:35">
      <c r="B29" s="2"/>
      <c r="C29" t="s">
        <v>334</v>
      </c>
      <c r="D29" s="1">
        <v>169798</v>
      </c>
      <c r="E29" t="s">
        <v>335</v>
      </c>
      <c r="F29" s="1">
        <v>87955</v>
      </c>
      <c r="O29" t="s">
        <v>257</v>
      </c>
      <c r="P29" s="4">
        <f>$F$23-($F$23*0.1)</f>
        <v>68673.600000000006</v>
      </c>
      <c r="Q29" s="4">
        <f>Staff_min_max[[#This Row],[Min (-10%)]]+(3*((Staff_min_max[[#This Row],[Max (+ 10%)]]-Staff_min_max[[#This Row],[Min (-10%)]])/4))</f>
        <v>91536.375</v>
      </c>
      <c r="R29" s="4">
        <f>$F$28+($F$28*0.1)</f>
        <v>99157.3</v>
      </c>
      <c r="S29" s="2">
        <f>Staff_min_max[[#This Row],[Max (+ 10%)]]</f>
        <v>99157.3</v>
      </c>
      <c r="T29" s="9">
        <f>ROUND((Staff_min_max[[#This Row],[Max (+ 10%)]]*(1+$T$1)^1),0)</f>
        <v>101636</v>
      </c>
      <c r="U29" s="9">
        <f>ROUND((Staff_min_max[[#This Row],[Year 1 (No Pay Rise)]]*(1+$T$1)^2),0)</f>
        <v>104177</v>
      </c>
      <c r="V29" s="9">
        <f>ROUND((Staff_min_max[[#This Row],[Year 1 (No Pay Rise)]]*(1+$T$1)^3),0)</f>
        <v>106782</v>
      </c>
      <c r="W29" s="9">
        <f>ROUND((Staff_min_max[[#This Row],[Year 1 (No Pay Rise)]]*(1+$T$1)^4),0)</f>
        <v>109451</v>
      </c>
      <c r="X29" s="9">
        <f>ROUND(SUM(Staff_min_max[[#This Row],[Year 1 (No Pay Rise)]]*(1+$Y$1)),0)</f>
        <v>128904</v>
      </c>
      <c r="Y29" s="9">
        <f>ROUND(SUM(Staff_min_max[[#This Row],[With Pay Rise Year 2]]*(1+$Y$1)),0)</f>
        <v>132127</v>
      </c>
      <c r="Z29" s="9">
        <f>ROUND(SUM(Staff_min_max[[#This Row],[With Pay Rise Year 3]]*(1+$Y$1)),0)</f>
        <v>135430</v>
      </c>
      <c r="AA29" s="9">
        <f>ROUND(SUM(Staff_min_max[[#This Row],[With Pay Rise Year 4]]*(1+$Y$1)),0)</f>
        <v>138817</v>
      </c>
      <c r="AB29" s="9">
        <f>ROUND(SUM(Staff_min_max[[#This Row],[With Pay Rise Year 5]]*(1+$Y$1)),0)</f>
        <v>142286</v>
      </c>
    </row>
    <row r="30" spans="1:35">
      <c r="B30" s="2"/>
      <c r="C30" t="s">
        <v>336</v>
      </c>
      <c r="D30" s="1">
        <v>175078</v>
      </c>
      <c r="E30" t="s">
        <v>337</v>
      </c>
      <c r="F30" s="1">
        <v>90143</v>
      </c>
      <c r="O30" t="s">
        <v>263</v>
      </c>
      <c r="P30" s="4">
        <f>$F$29-($F$29*0.1)</f>
        <v>79159.5</v>
      </c>
      <c r="Q30" s="4">
        <f>Staff_min_max[[#This Row],[Min (-10%)]]+(3*((Staff_min_max[[#This Row],[Max (+ 10%)]]-Staff_min_max[[#This Row],[Min (-10%)]])/4))</f>
        <v>99564.075000000012</v>
      </c>
      <c r="R30" s="4">
        <f>$F$33+($F$33*0.1)</f>
        <v>106365.6</v>
      </c>
      <c r="S30" s="2">
        <f>Staff_min_max[[#This Row],[Max (+ 10%)]]</f>
        <v>106365.6</v>
      </c>
      <c r="T30" s="9">
        <f>ROUND((Staff_min_max[[#This Row],[Max (+ 10%)]]*(1+$T$1)^1),0)</f>
        <v>109025</v>
      </c>
      <c r="U30" s="9">
        <f>ROUND((Staff_min_max[[#This Row],[Year 1 (No Pay Rise)]]*(1+$T$1)^2),0)</f>
        <v>111750</v>
      </c>
      <c r="V30" s="9">
        <f>ROUND((Staff_min_max[[#This Row],[Year 1 (No Pay Rise)]]*(1+$T$1)^3),0)</f>
        <v>114544</v>
      </c>
      <c r="W30" s="9">
        <f>ROUND((Staff_min_max[[#This Row],[Year 1 (No Pay Rise)]]*(1+$T$1)^4),0)</f>
        <v>117408</v>
      </c>
      <c r="X30" s="9">
        <f>ROUND(SUM(Staff_min_max[[#This Row],[Year 1 (No Pay Rise)]]*(1+$Y$1)),0)</f>
        <v>138275</v>
      </c>
      <c r="Y30" s="9">
        <f>ROUND(SUM(Staff_min_max[[#This Row],[With Pay Rise Year 2]]*(1+$Y$1)),0)</f>
        <v>141733</v>
      </c>
      <c r="Z30" s="9">
        <f>ROUND(SUM(Staff_min_max[[#This Row],[With Pay Rise Year 3]]*(1+$Y$1)),0)</f>
        <v>145275</v>
      </c>
      <c r="AA30" s="9">
        <f>ROUND(SUM(Staff_min_max[[#This Row],[With Pay Rise Year 4]]*(1+$Y$1)),0)</f>
        <v>148907</v>
      </c>
      <c r="AB30" s="9">
        <f>ROUND(SUM(Staff_min_max[[#This Row],[With Pay Rise Year 5]]*(1+$Y$1)),0)</f>
        <v>152630</v>
      </c>
    </row>
    <row r="31" spans="1:35">
      <c r="B31" s="2"/>
      <c r="C31" t="s">
        <v>261</v>
      </c>
      <c r="D31" s="1">
        <v>204128</v>
      </c>
      <c r="E31" t="s">
        <v>338</v>
      </c>
      <c r="F31" s="1">
        <v>92329</v>
      </c>
      <c r="O31" t="s">
        <v>268</v>
      </c>
      <c r="P31" s="4">
        <f>$F$34-($F$34*0.1)</f>
        <v>87026.4</v>
      </c>
      <c r="Q31" s="4">
        <f>Staff_min_max[[#This Row],[Min (-10%)]]+(3*((Staff_min_max[[#This Row],[Max (+ 10%)]]-Staff_min_max[[#This Row],[Min (-10%)]])/4))</f>
        <v>111146.175</v>
      </c>
      <c r="R31" s="4">
        <f>$F$38+($F$38*0.1)</f>
        <v>119186.1</v>
      </c>
      <c r="S31" s="2">
        <f>Staff_min_max[[#This Row],[Max (+ 10%)]]</f>
        <v>119186.1</v>
      </c>
      <c r="T31" s="9">
        <f>ROUND((Staff_min_max[[#This Row],[Max (+ 10%)]]*(1+$T$1)^1),0)</f>
        <v>122166</v>
      </c>
      <c r="U31" s="9">
        <f>ROUND((Staff_min_max[[#This Row],[Year 1 (No Pay Rise)]]*(1+$T$1)^2),0)</f>
        <v>125220</v>
      </c>
      <c r="V31" s="9">
        <f>ROUND((Staff_min_max[[#This Row],[Year 1 (No Pay Rise)]]*(1+$T$1)^3),0)</f>
        <v>128350</v>
      </c>
      <c r="W31" s="9">
        <f>ROUND((Staff_min_max[[#This Row],[Year 1 (No Pay Rise)]]*(1+$T$1)^4),0)</f>
        <v>131559</v>
      </c>
      <c r="X31" s="9">
        <f>ROUND(SUM(Staff_min_max[[#This Row],[Year 1 (No Pay Rise)]]*(1+$Y$1)),0)</f>
        <v>154942</v>
      </c>
      <c r="Y31" s="9">
        <f>ROUND(SUM(Staff_min_max[[#This Row],[With Pay Rise Year 2]]*(1+$Y$1)),0)</f>
        <v>158816</v>
      </c>
      <c r="Z31" s="9">
        <f>ROUND(SUM(Staff_min_max[[#This Row],[With Pay Rise Year 3]]*(1+$Y$1)),0)</f>
        <v>162786</v>
      </c>
      <c r="AA31" s="9">
        <f>ROUND(SUM(Staff_min_max[[#This Row],[With Pay Rise Year 4]]*(1+$Y$1)),0)</f>
        <v>166855</v>
      </c>
      <c r="AB31" s="9">
        <f>ROUND(SUM(Staff_min_max[[#This Row],[With Pay Rise Year 5]]*(1+$Y$1)),0)</f>
        <v>171027</v>
      </c>
    </row>
    <row r="32" spans="1:35">
      <c r="B32" s="2"/>
      <c r="D32" s="1"/>
      <c r="E32" t="s">
        <v>339</v>
      </c>
      <c r="F32" s="1">
        <v>94514</v>
      </c>
      <c r="O32" t="s">
        <v>273</v>
      </c>
      <c r="P32" s="4">
        <f>$F$39-($F$39*0.1)</f>
        <v>97515.9</v>
      </c>
      <c r="Q32" s="4">
        <f>Staff_min_max[[#This Row],[Min (-10%)]]+(3*((Staff_min_max[[#This Row],[Max (+ 10%)]]-Staff_min_max[[#This Row],[Min (-10%)]])/4))</f>
        <v>125066.925</v>
      </c>
      <c r="R32" s="4">
        <f>$F$42+($F$42*0.1)</f>
        <v>134250.6</v>
      </c>
      <c r="S32" s="2">
        <f>Staff_min_max[[#This Row],[Max (+ 10%)]]</f>
        <v>134250.6</v>
      </c>
      <c r="T32" s="9">
        <f>ROUND((Staff_min_max[[#This Row],[Max (+ 10%)]]*(1+$T$1)^1),0)</f>
        <v>137607</v>
      </c>
      <c r="U32" s="9">
        <f>ROUND((Staff_min_max[[#This Row],[Year 1 (No Pay Rise)]]*(1+$T$1)^2),0)</f>
        <v>141047</v>
      </c>
      <c r="V32" s="9">
        <f>ROUND((Staff_min_max[[#This Row],[Year 1 (No Pay Rise)]]*(1+$T$1)^3),0)</f>
        <v>144573</v>
      </c>
      <c r="W32" s="9">
        <f>ROUND((Staff_min_max[[#This Row],[Year 1 (No Pay Rise)]]*(1+$T$1)^4),0)</f>
        <v>148188</v>
      </c>
      <c r="X32" s="9">
        <f>ROUND(SUM(Staff_min_max[[#This Row],[Year 1 (No Pay Rise)]]*(1+$Y$1)),0)</f>
        <v>174526</v>
      </c>
      <c r="Y32" s="9">
        <f>ROUND(SUM(Staff_min_max[[#This Row],[With Pay Rise Year 2]]*(1+$Y$1)),0)</f>
        <v>178889</v>
      </c>
      <c r="Z32" s="9">
        <f>ROUND(SUM(Staff_min_max[[#This Row],[With Pay Rise Year 3]]*(1+$Y$1)),0)</f>
        <v>183361</v>
      </c>
      <c r="AA32" s="9">
        <f>ROUND(SUM(Staff_min_max[[#This Row],[With Pay Rise Year 4]]*(1+$Y$1)),0)</f>
        <v>187945</v>
      </c>
      <c r="AB32" s="9">
        <f>ROUND(SUM(Staff_min_max[[#This Row],[With Pay Rise Year 5]]*(1+$Y$1)),0)</f>
        <v>192644</v>
      </c>
    </row>
    <row r="33" spans="2:28">
      <c r="B33" s="2"/>
      <c r="D33" s="1"/>
      <c r="E33" t="s">
        <v>340</v>
      </c>
      <c r="F33" s="1">
        <v>96696</v>
      </c>
      <c r="O33" t="s">
        <v>278</v>
      </c>
      <c r="P33" s="4">
        <f>$F$43-($F$43*0.1)</f>
        <v>115346.7</v>
      </c>
      <c r="Q33" s="4">
        <f>Staff_min_max[[#This Row],[Min (-10%)]]+(3*((Staff_min_max[[#This Row],[Max (+ 10%)]]-Staff_min_max[[#This Row],[Min (-10%)]])/4))</f>
        <v>138173.1</v>
      </c>
      <c r="R33" s="4">
        <f>$F$45+($F$45*0.1)</f>
        <v>145781.9</v>
      </c>
      <c r="S33" s="2">
        <f>Staff_min_max[[#This Row],[Max (+ 10%)]]</f>
        <v>145781.9</v>
      </c>
      <c r="T33" s="9">
        <f>ROUND((Staff_min_max[[#This Row],[Max (+ 10%)]]*(1+$T$1)^1),0)</f>
        <v>149426</v>
      </c>
      <c r="U33" s="9">
        <f>ROUND((Staff_min_max[[#This Row],[Year 1 (No Pay Rise)]]*(1+$T$1)^2),0)</f>
        <v>153162</v>
      </c>
      <c r="V33" s="9">
        <f>ROUND((Staff_min_max[[#This Row],[Year 1 (No Pay Rise)]]*(1+$T$1)^3),0)</f>
        <v>156991</v>
      </c>
      <c r="W33" s="9">
        <f>ROUND((Staff_min_max[[#This Row],[Year 1 (No Pay Rise)]]*(1+$T$1)^4),0)</f>
        <v>160916</v>
      </c>
      <c r="X33" s="9">
        <f>ROUND(SUM(Staff_min_max[[#This Row],[Year 1 (No Pay Rise)]]*(1+$Y$1)),0)</f>
        <v>189516</v>
      </c>
      <c r="Y33" s="9">
        <f>ROUND(SUM(Staff_min_max[[#This Row],[With Pay Rise Year 2]]*(1+$Y$1)),0)</f>
        <v>194254</v>
      </c>
      <c r="Z33" s="9">
        <f>ROUND(SUM(Staff_min_max[[#This Row],[With Pay Rise Year 3]]*(1+$Y$1)),0)</f>
        <v>199111</v>
      </c>
      <c r="AA33" s="9">
        <f>ROUND(SUM(Staff_min_max[[#This Row],[With Pay Rise Year 4]]*(1+$Y$1)),0)</f>
        <v>204088</v>
      </c>
      <c r="AB33" s="9">
        <f>ROUND(SUM(Staff_min_max[[#This Row],[With Pay Rise Year 5]]*(1+$Y$1)),0)</f>
        <v>209191</v>
      </c>
    </row>
    <row r="34" spans="2:28">
      <c r="B34" s="2"/>
      <c r="D34" s="1"/>
      <c r="E34" t="s">
        <v>341</v>
      </c>
      <c r="F34" s="1">
        <v>96696</v>
      </c>
      <c r="O34" t="s">
        <v>283</v>
      </c>
      <c r="P34" s="4">
        <f>$F$46-($F$46*0.1)</f>
        <v>119493.9</v>
      </c>
      <c r="Q34" s="4">
        <f>Staff_min_max[[#This Row],[Min (-10%)]]+(3*((Staff_min_max[[#This Row],[Max (+ 10%)]]-Staff_min_max[[#This Row],[Min (-10%)]])/4))</f>
        <v>139409.54999999999</v>
      </c>
      <c r="R34" s="4">
        <f>$F$46+($F$46*0.1)</f>
        <v>146048.1</v>
      </c>
      <c r="S34" s="2">
        <f>Staff_min_max[[#This Row],[Max (+ 10%)]]</f>
        <v>146048.1</v>
      </c>
      <c r="T34" s="9">
        <f>ROUND((Staff_min_max[[#This Row],[Max (+ 10%)]]*(1+$T$1)^1),0)</f>
        <v>149699</v>
      </c>
      <c r="U34" s="9">
        <f>ROUND((Staff_min_max[[#This Row],[Year 1 (No Pay Rise)]]*(1+$T$1)^2),0)</f>
        <v>153442</v>
      </c>
      <c r="V34" s="9">
        <f>ROUND((Staff_min_max[[#This Row],[Year 1 (No Pay Rise)]]*(1+$T$1)^3),0)</f>
        <v>157278</v>
      </c>
      <c r="W34" s="9">
        <f>ROUND((Staff_min_max[[#This Row],[Year 1 (No Pay Rise)]]*(1+$T$1)^4),0)</f>
        <v>161210</v>
      </c>
      <c r="X34" s="9">
        <f>ROUND(SUM(Staff_min_max[[#This Row],[Year 1 (No Pay Rise)]]*(1+$Y$1)),0)</f>
        <v>189863</v>
      </c>
      <c r="Y34" s="9">
        <f>ROUND(SUM(Staff_min_max[[#This Row],[With Pay Rise Year 2]]*(1+$Y$1)),0)</f>
        <v>194609</v>
      </c>
      <c r="Z34" s="9">
        <f>ROUND(SUM(Staff_min_max[[#This Row],[With Pay Rise Year 3]]*(1+$Y$1)),0)</f>
        <v>199475</v>
      </c>
      <c r="AA34" s="9">
        <f>ROUND(SUM(Staff_min_max[[#This Row],[With Pay Rise Year 4]]*(1+$Y$1)),0)</f>
        <v>204461</v>
      </c>
      <c r="AB34" s="9">
        <f>ROUND(SUM(Staff_min_max[[#This Row],[With Pay Rise Year 5]]*(1+$Y$1)),0)</f>
        <v>209573</v>
      </c>
    </row>
    <row r="35" spans="2:28">
      <c r="B35" s="2"/>
      <c r="D35" s="1"/>
      <c r="E35" t="s">
        <v>342</v>
      </c>
      <c r="F35" s="1">
        <v>99612</v>
      </c>
      <c r="O35" t="s">
        <v>287</v>
      </c>
      <c r="P35" s="29">
        <f>P34*1.09</f>
        <v>130248.35100000001</v>
      </c>
      <c r="Q35" s="29">
        <f>Staff_min_max[[#This Row],[Min (-10%)]]+(3*((Staff_min_max[[#This Row],[Max (+ 10%)]]-Staff_min_max[[#This Row],[Min (-10%)]])/4))</f>
        <v>150861.04875000002</v>
      </c>
      <c r="R35" s="29">
        <f>R34*1.08</f>
        <v>157731.948</v>
      </c>
      <c r="S35">
        <f>Staff_min_max[[#This Row],[Max (+ 10%)]]</f>
        <v>157731.948</v>
      </c>
      <c r="T35">
        <f>ROUND((Staff_min_max[[#This Row],[Max (+ 10%)]]*(1+$T$1)^1),0)</f>
        <v>161675</v>
      </c>
      <c r="U35">
        <f>ROUND((Staff_min_max[[#This Row],[Year 1 (No Pay Rise)]]*(1+$T$1)^2),0)</f>
        <v>165717</v>
      </c>
      <c r="V35">
        <f>ROUND((Staff_min_max[[#This Row],[Year 1 (No Pay Rise)]]*(1+$T$1)^3),0)</f>
        <v>169860</v>
      </c>
      <c r="W35">
        <f>ROUND((Staff_min_max[[#This Row],[Year 1 (No Pay Rise)]]*(1+$T$1)^4),0)</f>
        <v>174107</v>
      </c>
      <c r="X35">
        <f>ROUND(SUM(Staff_min_max[[#This Row],[Year 1 (No Pay Rise)]]*(1+$Y$1)),0)</f>
        <v>205052</v>
      </c>
      <c r="Y35">
        <f>ROUND(SUM(Staff_min_max[[#This Row],[With Pay Rise Year 2]]*(1+$Y$1)),0)</f>
        <v>210178</v>
      </c>
      <c r="Z35">
        <f>ROUND(SUM(Staff_min_max[[#This Row],[With Pay Rise Year 3]]*(1+$Y$1)),0)</f>
        <v>215432</v>
      </c>
      <c r="AA35">
        <f>ROUND(SUM(Staff_min_max[[#This Row],[With Pay Rise Year 4]]*(1+$Y$1)),0)</f>
        <v>220818</v>
      </c>
      <c r="AB35">
        <f>ROUND(SUM(Staff_min_max[[#This Row],[With Pay Rise Year 5]]*(1+$Y$1)),0)</f>
        <v>226339</v>
      </c>
    </row>
    <row r="36" spans="2:28">
      <c r="B36" s="2"/>
      <c r="D36" s="1"/>
      <c r="E36" t="s">
        <v>343</v>
      </c>
      <c r="F36" s="1">
        <v>102521</v>
      </c>
      <c r="O36" t="s">
        <v>291</v>
      </c>
      <c r="P36" s="29">
        <f t="shared" ref="P36:P39" si="3">P35*1.09</f>
        <v>141970.70259000003</v>
      </c>
      <c r="Q36" s="29">
        <f>Staff_min_max[[#This Row],[Min (-10%)]]+(3*((Staff_min_max[[#This Row],[Max (+ 10%)]]-Staff_min_max[[#This Row],[Min (-10%)]])/4))</f>
        <v>163255.55352750001</v>
      </c>
      <c r="R36" s="29">
        <f t="shared" ref="R36:R39" si="4">R35*1.08</f>
        <v>170350.50384000002</v>
      </c>
      <c r="S36">
        <f>Staff_min_max[[#This Row],[Max (+ 10%)]]</f>
        <v>170350.50384000002</v>
      </c>
      <c r="T36">
        <f>ROUND((Staff_min_max[[#This Row],[Max (+ 10%)]]*(1+$T$1)^1),0)</f>
        <v>174609</v>
      </c>
      <c r="U36">
        <f>ROUND((Staff_min_max[[#This Row],[Year 1 (No Pay Rise)]]*(1+$T$1)^2),0)</f>
        <v>178974</v>
      </c>
      <c r="V36">
        <f>ROUND((Staff_min_max[[#This Row],[Year 1 (No Pay Rise)]]*(1+$T$1)^3),0)</f>
        <v>183449</v>
      </c>
      <c r="W36">
        <f>ROUND((Staff_min_max[[#This Row],[Year 1 (No Pay Rise)]]*(1+$T$1)^4),0)</f>
        <v>188035</v>
      </c>
      <c r="X36">
        <f>ROUND(SUM(Staff_min_max[[#This Row],[Year 1 (No Pay Rise)]]*(1+$Y$1)),0)</f>
        <v>221456</v>
      </c>
      <c r="Y36">
        <f>ROUND(SUM(Staff_min_max[[#This Row],[With Pay Rise Year 2]]*(1+$Y$1)),0)</f>
        <v>226992</v>
      </c>
      <c r="Z36">
        <f>ROUND(SUM(Staff_min_max[[#This Row],[With Pay Rise Year 3]]*(1+$Y$1)),0)</f>
        <v>232666</v>
      </c>
      <c r="AA36">
        <f>ROUND(SUM(Staff_min_max[[#This Row],[With Pay Rise Year 4]]*(1+$Y$1)),0)</f>
        <v>238484</v>
      </c>
      <c r="AB36">
        <f>ROUND(SUM(Staff_min_max[[#This Row],[With Pay Rise Year 5]]*(1+$Y$1)),0)</f>
        <v>244446</v>
      </c>
    </row>
    <row r="37" spans="2:28">
      <c r="B37" s="2"/>
      <c r="D37" s="1"/>
      <c r="E37" t="s">
        <v>344</v>
      </c>
      <c r="F37" s="1">
        <v>105438</v>
      </c>
      <c r="O37" t="s">
        <v>295</v>
      </c>
      <c r="P37" s="29">
        <f t="shared" si="3"/>
        <v>154748.06582310004</v>
      </c>
      <c r="Q37" s="29">
        <f>Staff_min_max[[#This Row],[Min (-10%)]]+(3*((Staff_min_max[[#This Row],[Max (+ 10%)]]-Staff_min_max[[#This Row],[Min (-10%)]])/4))</f>
        <v>176670.92456617503</v>
      </c>
      <c r="R37" s="29">
        <f t="shared" si="4"/>
        <v>183978.54414720004</v>
      </c>
      <c r="S37">
        <f>Staff_min_max[[#This Row],[Max (+ 10%)]]</f>
        <v>183978.54414720004</v>
      </c>
      <c r="T37">
        <f>ROUND((Staff_min_max[[#This Row],[Max (+ 10%)]]*(1+$T$1)^1),0)</f>
        <v>188578</v>
      </c>
      <c r="U37">
        <f>ROUND((Staff_min_max[[#This Row],[Year 1 (No Pay Rise)]]*(1+$T$1)^2),0)</f>
        <v>193292</v>
      </c>
      <c r="V37">
        <f>ROUND((Staff_min_max[[#This Row],[Year 1 (No Pay Rise)]]*(1+$T$1)^3),0)</f>
        <v>198125</v>
      </c>
      <c r="W37">
        <f>ROUND((Staff_min_max[[#This Row],[Year 1 (No Pay Rise)]]*(1+$T$1)^4),0)</f>
        <v>203078</v>
      </c>
      <c r="X37">
        <f>ROUND(SUM(Staff_min_max[[#This Row],[Year 1 (No Pay Rise)]]*(1+$Y$1)),0)</f>
        <v>239172</v>
      </c>
      <c r="Y37">
        <f>ROUND(SUM(Staff_min_max[[#This Row],[With Pay Rise Year 2]]*(1+$Y$1)),0)</f>
        <v>245151</v>
      </c>
      <c r="Z37">
        <f>ROUND(SUM(Staff_min_max[[#This Row],[With Pay Rise Year 3]]*(1+$Y$1)),0)</f>
        <v>251280</v>
      </c>
      <c r="AA37">
        <f>ROUND(SUM(Staff_min_max[[#This Row],[With Pay Rise Year 4]]*(1+$Y$1)),0)</f>
        <v>257563</v>
      </c>
      <c r="AB37">
        <f>ROUND(SUM(Staff_min_max[[#This Row],[With Pay Rise Year 5]]*(1+$Y$1)),0)</f>
        <v>264001</v>
      </c>
    </row>
    <row r="38" spans="2:28">
      <c r="B38" s="2"/>
      <c r="D38" s="1"/>
      <c r="E38" t="s">
        <v>345</v>
      </c>
      <c r="F38" s="1">
        <v>108351</v>
      </c>
      <c r="O38" t="s">
        <v>299</v>
      </c>
      <c r="P38" s="29">
        <f t="shared" si="3"/>
        <v>168675.39174717906</v>
      </c>
      <c r="Q38" s="29">
        <f>Staff_min_max[[#This Row],[Min (-10%)]]+(3*((Staff_min_max[[#This Row],[Max (+ 10%)]]-Staff_min_max[[#This Row],[Min (-10%)]])/4))</f>
        <v>191191.4686960268</v>
      </c>
      <c r="R38" s="29">
        <f t="shared" si="4"/>
        <v>198696.82767897606</v>
      </c>
      <c r="S38">
        <f>Staff_min_max[[#This Row],[Max (+ 10%)]]</f>
        <v>198696.82767897606</v>
      </c>
      <c r="T38">
        <f>ROUND((Staff_min_max[[#This Row],[Max (+ 10%)]]*(1+$T$1)^1),0)</f>
        <v>203664</v>
      </c>
      <c r="U38">
        <f>ROUND((Staff_min_max[[#This Row],[Year 1 (No Pay Rise)]]*(1+$T$1)^2),0)</f>
        <v>208756</v>
      </c>
      <c r="V38">
        <f>ROUND((Staff_min_max[[#This Row],[Year 1 (No Pay Rise)]]*(1+$T$1)^3),0)</f>
        <v>213975</v>
      </c>
      <c r="W38">
        <f>ROUND((Staff_min_max[[#This Row],[Year 1 (No Pay Rise)]]*(1+$T$1)^4),0)</f>
        <v>219324</v>
      </c>
      <c r="X38">
        <f>ROUND(SUM(Staff_min_max[[#This Row],[Year 1 (No Pay Rise)]]*(1+$Y$1)),0)</f>
        <v>258306</v>
      </c>
      <c r="Y38">
        <f>ROUND(SUM(Staff_min_max[[#This Row],[With Pay Rise Year 2]]*(1+$Y$1)),0)</f>
        <v>264763</v>
      </c>
      <c r="Z38">
        <f>ROUND(SUM(Staff_min_max[[#This Row],[With Pay Rise Year 3]]*(1+$Y$1)),0)</f>
        <v>271383</v>
      </c>
      <c r="AA38">
        <f>ROUND(SUM(Staff_min_max[[#This Row],[With Pay Rise Year 4]]*(1+$Y$1)),0)</f>
        <v>278168</v>
      </c>
      <c r="AB38">
        <f>ROUND(SUM(Staff_min_max[[#This Row],[With Pay Rise Year 5]]*(1+$Y$1)),0)</f>
        <v>285121</v>
      </c>
    </row>
    <row r="39" spans="2:28">
      <c r="B39" s="2"/>
      <c r="D39" s="1"/>
      <c r="E39" t="s">
        <v>346</v>
      </c>
      <c r="F39" s="1">
        <v>108351</v>
      </c>
      <c r="O39" t="s">
        <v>303</v>
      </c>
      <c r="P39" s="29">
        <f t="shared" si="3"/>
        <v>183856.1770044252</v>
      </c>
      <c r="Q39" s="29">
        <f>Staff_min_max[[#This Row],[Min (-10%)]]+(3*((Staff_min_max[[#This Row],[Max (+ 10%)]]-Staff_min_max[[#This Row],[Min (-10%)]])/4))</f>
        <v>206908.47467107693</v>
      </c>
      <c r="R39" s="29">
        <f t="shared" si="4"/>
        <v>214592.57389329415</v>
      </c>
      <c r="S39">
        <f>Staff_min_max[[#This Row],[Max (+ 10%)]]</f>
        <v>214592.57389329415</v>
      </c>
      <c r="T39">
        <f>ROUND((Staff_min_max[[#This Row],[Max (+ 10%)]]*(1+$T$1)^1),0)</f>
        <v>219957</v>
      </c>
      <c r="U39">
        <f>ROUND((Staff_min_max[[#This Row],[Year 1 (No Pay Rise)]]*(1+$T$1)^2),0)</f>
        <v>225456</v>
      </c>
      <c r="V39">
        <f>ROUND((Staff_min_max[[#This Row],[Year 1 (No Pay Rise)]]*(1+$T$1)^3),0)</f>
        <v>231093</v>
      </c>
      <c r="W39">
        <f>ROUND((Staff_min_max[[#This Row],[Year 1 (No Pay Rise)]]*(1+$T$1)^4),0)</f>
        <v>236870</v>
      </c>
      <c r="X39">
        <f>ROUND(SUM(Staff_min_max[[#This Row],[Year 1 (No Pay Rise)]]*(1+$Y$1)),0)</f>
        <v>278970</v>
      </c>
      <c r="Y39">
        <f>ROUND(SUM(Staff_min_max[[#This Row],[With Pay Rise Year 2]]*(1+$Y$1)),0)</f>
        <v>285944</v>
      </c>
      <c r="Z39">
        <f>ROUND(SUM(Staff_min_max[[#This Row],[With Pay Rise Year 3]]*(1+$Y$1)),0)</f>
        <v>293093</v>
      </c>
      <c r="AA39">
        <f>ROUND(SUM(Staff_min_max[[#This Row],[With Pay Rise Year 4]]*(1+$Y$1)),0)</f>
        <v>300421</v>
      </c>
      <c r="AB39">
        <f>ROUND(SUM(Staff_min_max[[#This Row],[With Pay Rise Year 5]]*(1+$Y$1)),0)</f>
        <v>307931</v>
      </c>
    </row>
    <row r="40" spans="2:28">
      <c r="B40" s="2"/>
      <c r="D40" s="1"/>
      <c r="E40" t="s">
        <v>347</v>
      </c>
      <c r="F40" s="1">
        <v>112723</v>
      </c>
    </row>
    <row r="41" spans="2:28">
      <c r="B41" s="2"/>
      <c r="D41" s="1"/>
      <c r="E41" t="s">
        <v>348</v>
      </c>
      <c r="F41" s="1">
        <v>117095</v>
      </c>
    </row>
    <row r="42" spans="2:28">
      <c r="B42" s="2"/>
      <c r="D42" s="1"/>
      <c r="E42" t="s">
        <v>349</v>
      </c>
      <c r="F42" s="1">
        <v>122046</v>
      </c>
    </row>
    <row r="43" spans="2:28">
      <c r="B43" s="2"/>
      <c r="D43" s="1"/>
      <c r="E43" t="s">
        <v>350</v>
      </c>
      <c r="F43" s="1">
        <v>128163</v>
      </c>
    </row>
    <row r="44" spans="2:28">
      <c r="B44" s="2"/>
      <c r="D44" s="1"/>
      <c r="E44" t="s">
        <v>351</v>
      </c>
      <c r="F44" s="1">
        <v>130495</v>
      </c>
    </row>
    <row r="45" spans="2:28">
      <c r="B45" s="2"/>
      <c r="D45" s="1"/>
      <c r="E45" t="s">
        <v>352</v>
      </c>
      <c r="F45" s="1">
        <v>132529</v>
      </c>
    </row>
    <row r="46" spans="2:28">
      <c r="B46" s="2"/>
      <c r="D46" s="1"/>
      <c r="E46" t="s">
        <v>353</v>
      </c>
      <c r="F46" s="1">
        <v>132771</v>
      </c>
    </row>
  </sheetData>
  <phoneticPr fontId="2" type="noConversion"/>
  <pageMargins left="0.7" right="0.7" top="0.75" bottom="0.75" header="0.3" footer="0.3"/>
  <pageSetup orientation="portrait" r:id="rId1"/>
  <legacyDrawing r:id="rId2"/>
  <tableParts count="8">
    <tablePart r:id="rId3"/>
    <tablePart r:id="rId4"/>
    <tablePart r:id="rId5"/>
    <tablePart r:id="rId6"/>
    <tablePart r:id="rId7"/>
    <tablePart r:id="rId8"/>
    <tablePart r:id="rId9"/>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ADFDD01763A44A820E5977530AE2CB" ma:contentTypeVersion="13" ma:contentTypeDescription="Create a new document." ma:contentTypeScope="" ma:versionID="2d80a803f808e511dc0dfc688bc5c12f">
  <xsd:schema xmlns:xsd="http://www.w3.org/2001/XMLSchema" xmlns:xs="http://www.w3.org/2001/XMLSchema" xmlns:p="http://schemas.microsoft.com/office/2006/metadata/properties" xmlns:ns2="13b96c98-1ce3-4cf3-a038-c2e428628be7" xmlns:ns3="4850c06a-3457-49c5-bd12-20b6668c6625" targetNamespace="http://schemas.microsoft.com/office/2006/metadata/properties" ma:root="true" ma:fieldsID="5576499a7ceb666ee7846ea308a791e3" ns2:_="" ns3:_="">
    <xsd:import namespace="13b96c98-1ce3-4cf3-a038-c2e428628be7"/>
    <xsd:import namespace="4850c06a-3457-49c5-bd12-20b6668c662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b96c98-1ce3-4cf3-a038-c2e428628b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a2f4761-e995-4b71-b536-9deb906f546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50c06a-3457-49c5-bd12-20b6668c662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aa9d698-2205-4a00-a313-4879da99a202}" ma:internalName="TaxCatchAll" ma:showField="CatchAllData" ma:web="4850c06a-3457-49c5-bd12-20b6668c662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850c06a-3457-49c5-bd12-20b6668c6625" xsi:nil="true"/>
    <lcf76f155ced4ddcb4097134ff3c332f xmlns="13b96c98-1ce3-4cf3-a038-c2e428628be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C223B5-9C70-408C-9179-74A415CA812F}"/>
</file>

<file path=customXml/itemProps2.xml><?xml version="1.0" encoding="utf-8"?>
<ds:datastoreItem xmlns:ds="http://schemas.openxmlformats.org/officeDocument/2006/customXml" ds:itemID="{8CF92D1E-6A7A-41C9-83CC-5CA8368F965E}"/>
</file>

<file path=customXml/itemProps3.xml><?xml version="1.0" encoding="utf-8"?>
<ds:datastoreItem xmlns:ds="http://schemas.openxmlformats.org/officeDocument/2006/customXml" ds:itemID="{2AC1F5BC-6844-4366-AEE3-25CB330E089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Rohan Wighton</dc:creator>
  <cp:keywords/>
  <dc:description/>
  <cp:lastModifiedBy/>
  <cp:revision/>
  <dcterms:created xsi:type="dcterms:W3CDTF">2023-02-08T03:12:41Z</dcterms:created>
  <dcterms:modified xsi:type="dcterms:W3CDTF">2026-06-22T09:27:55Z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0x01010098ADFDD01763A44A820E5977530AE2CB</vt:lpwstr>
  </property>
  <property fmtid="{D5CDD505-2E9C-101B-9397-08002B2CF9AE}" pid="3" name="MediaServiceImageTags">
    <vt:lpwstr/>
  </property>
  <property fmtid="{D5CDD505-2E9C-101B-9397-08002B2CF9AE}" pid="4" name="MSIP_Label_0f488380-630a-4f55-a077-a19445e3f360_Enabled">
    <vt:lpwstr>true</vt:lpwstr>
  </property>
  <property fmtid="{D5CDD505-2E9C-101B-9397-08002B2CF9AE}" pid="5" name="MSIP_Label_0f488380-630a-4f55-a077-a19445e3f360_SetDate">
    <vt:lpwstr>2023-03-14T04:11:52Z</vt:lpwstr>
  </property>
  <property fmtid="{D5CDD505-2E9C-101B-9397-08002B2CF9AE}" pid="6" name="MSIP_Label_0f488380-630a-4f55-a077-a19445e3f360_Method">
    <vt:lpwstr>Privileged</vt:lpwstr>
  </property>
  <property fmtid="{D5CDD505-2E9C-101B-9397-08002B2CF9AE}" pid="7" name="MSIP_Label_0f488380-630a-4f55-a077-a19445e3f360_Name">
    <vt:lpwstr>OFFICIAL - INTERNAL</vt:lpwstr>
  </property>
  <property fmtid="{D5CDD505-2E9C-101B-9397-08002B2CF9AE}" pid="8" name="MSIP_Label_0f488380-630a-4f55-a077-a19445e3f360_SiteId">
    <vt:lpwstr>b6e377cf-9db3-46cb-91a2-fad9605bb15c</vt:lpwstr>
  </property>
  <property fmtid="{D5CDD505-2E9C-101B-9397-08002B2CF9AE}" pid="9" name="MSIP_Label_0f488380-630a-4f55-a077-a19445e3f360_ActionId">
    <vt:lpwstr>6d9a0b0e-d0c8-44c2-a740-a75111dec3e2</vt:lpwstr>
  </property>
  <property fmtid="{D5CDD505-2E9C-101B-9397-08002B2CF9AE}" pid="10" name="MSIP_Label_0f488380-630a-4f55-a077-a19445e3f360_ContentBits">
    <vt:lpwstr>0</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